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erusing/Desktop/"/>
    </mc:Choice>
  </mc:AlternateContent>
  <xr:revisionPtr revIDLastSave="0" documentId="13_ncr:1_{30640750-0D9C-C241-B816-2BC973B2579C}" xr6:coauthVersionLast="47" xr6:coauthVersionMax="47" xr10:uidLastSave="{00000000-0000-0000-0000-000000000000}"/>
  <bookViews>
    <workbookView xWindow="-40" yWindow="2720" windowWidth="24100" windowHeight="16660" xr2:uid="{ACDC3601-5727-46E6-948F-3DF0768A7D76}"/>
  </bookViews>
  <sheets>
    <sheet name="OPM Equity 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" l="1"/>
  <c r="E18" i="1"/>
  <c r="D18" i="1"/>
  <c r="C18" i="1"/>
  <c r="C17" i="1"/>
  <c r="B50" i="1" s="1"/>
  <c r="B51" i="1" s="1"/>
  <c r="B53" i="1" s="1"/>
  <c r="B16" i="1"/>
  <c r="B63" i="1"/>
  <c r="B64" i="1"/>
  <c r="B59" i="1"/>
  <c r="B18" i="1" l="1"/>
  <c r="F19" i="1"/>
  <c r="F30" i="1" s="1"/>
  <c r="E19" i="1"/>
  <c r="D19" i="1"/>
  <c r="C19" i="1"/>
  <c r="F35" i="1" l="1"/>
  <c r="F36" i="1" s="1"/>
  <c r="B57" i="1"/>
  <c r="B60" i="1" s="1"/>
  <c r="I67" i="1" l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I53" i="1" s="1"/>
  <c r="I52" i="1" s="1"/>
  <c r="I51" i="1" s="1"/>
  <c r="I50" i="1" s="1"/>
  <c r="I49" i="1" s="1"/>
  <c r="H54" i="1"/>
  <c r="B61" i="1"/>
  <c r="B55" i="1"/>
  <c r="D43" i="1"/>
  <c r="C42" i="1"/>
  <c r="B27" i="1"/>
  <c r="B21" i="1"/>
  <c r="B23" i="1" s="1"/>
  <c r="B65" i="1" l="1"/>
  <c r="B68" i="1" s="1"/>
  <c r="B66" i="1"/>
  <c r="C20" i="1"/>
  <c r="D20" i="1"/>
  <c r="E20" i="1"/>
  <c r="F20" i="1"/>
  <c r="C15" i="1"/>
  <c r="C21" i="1" l="1"/>
  <c r="C23" i="1" s="1"/>
  <c r="B67" i="1"/>
  <c r="C63" i="1" l="1"/>
  <c r="A43" i="1" s="1"/>
  <c r="B69" i="1"/>
  <c r="B70" i="1" s="1"/>
  <c r="D15" i="1"/>
  <c r="D21" i="1" s="1"/>
  <c r="E15" i="1" s="1"/>
  <c r="E21" i="1" s="1"/>
  <c r="C64" i="1"/>
  <c r="A42" i="1" s="1"/>
  <c r="C25" i="1" l="1"/>
  <c r="D25" i="1" s="1"/>
  <c r="E25" i="1" s="1"/>
  <c r="D23" i="1"/>
  <c r="C68" i="1"/>
  <c r="F49" i="1" s="1"/>
  <c r="F15" i="1"/>
  <c r="F21" i="1" s="1"/>
  <c r="E23" i="1"/>
  <c r="D27" i="1" l="1"/>
  <c r="C27" i="1"/>
  <c r="C69" i="1"/>
  <c r="F23" i="1"/>
  <c r="F25" i="1"/>
  <c r="F32" i="1" s="1"/>
  <c r="E27" i="1"/>
  <c r="E32" i="1" l="1"/>
  <c r="E33" i="1" s="1"/>
  <c r="F27" i="1"/>
  <c r="F28" i="1" l="1"/>
  <c r="C28" i="1"/>
  <c r="D28" i="1"/>
  <c r="E28" i="1"/>
  <c r="H42" i="1"/>
  <c r="B42" i="1" s="1"/>
  <c r="F33" i="1"/>
  <c r="H43" i="1" l="1"/>
  <c r="B43" i="1" s="1"/>
</calcChain>
</file>

<file path=xl/sharedStrings.xml><?xml version="1.0" encoding="utf-8"?>
<sst xmlns="http://schemas.openxmlformats.org/spreadsheetml/2006/main" count="63" uniqueCount="57">
  <si>
    <t>YOM</t>
  </si>
  <si>
    <t>OPM Equity</t>
  </si>
  <si>
    <t>After Tax Cash Flow</t>
  </si>
  <si>
    <t>Beginning Cash</t>
  </si>
  <si>
    <t># Restaurants Built</t>
  </si>
  <si>
    <t>Ending Cash</t>
  </si>
  <si>
    <t>% of Your Ownership</t>
  </si>
  <si>
    <t>Total Equity Value</t>
  </si>
  <si>
    <t>Your Value</t>
  </si>
  <si>
    <t>Equity at Cost</t>
  </si>
  <si>
    <t>OPM Equity Value</t>
  </si>
  <si>
    <t>Year 1</t>
  </si>
  <si>
    <t>Year 2</t>
  </si>
  <si>
    <t>Year 3</t>
  </si>
  <si>
    <t>Year 4</t>
  </si>
  <si>
    <t>Year 5</t>
  </si>
  <si>
    <t>YOM Current After Tax Return</t>
  </si>
  <si>
    <t>OPM Equity Current After Tax Return</t>
  </si>
  <si>
    <t>OPM Pref</t>
  </si>
  <si>
    <t>OPM Cash Flow</t>
  </si>
  <si>
    <t>Target Pre-Tax Cash flow</t>
  </si>
  <si>
    <t>Variance</t>
  </si>
  <si>
    <t>Actual Cash Flow</t>
  </si>
  <si>
    <t>OPM Ownership</t>
  </si>
  <si>
    <t>Pref Hurdle</t>
  </si>
  <si>
    <t>YOM Cash Flow</t>
  </si>
  <si>
    <t>Total Cash Flow</t>
  </si>
  <si>
    <t>Pref Payment</t>
  </si>
  <si>
    <t>YOM payment</t>
  </si>
  <si>
    <t>Total Payment</t>
  </si>
  <si>
    <t>Cash Flow Drop vs. Predicted</t>
  </si>
  <si>
    <t>OPM Equity Share</t>
  </si>
  <si>
    <t>OPM Target Pre-Tax Cash Flow</t>
  </si>
  <si>
    <t>YOM Ownership</t>
  </si>
  <si>
    <t>Year 0</t>
  </si>
  <si>
    <t>Total Equity</t>
  </si>
  <si>
    <t>OPM Equity Investment</t>
  </si>
  <si>
    <t>Equity Invested in New Locations</t>
  </si>
  <si>
    <t>% Of Cash Distr.</t>
  </si>
  <si>
    <t>Ownership</t>
  </si>
  <si>
    <t>Ownership Model Inputs</t>
  </si>
  <si>
    <t>% OPM Equity to Cash Equity</t>
  </si>
  <si>
    <t>Current Pre-Tax ROE</t>
  </si>
  <si>
    <t>OPM Equity Value Multiplier</t>
  </si>
  <si>
    <t>= 100%</t>
  </si>
  <si>
    <t>Pre-Tax Equity Cash Flows</t>
  </si>
  <si>
    <t>Equity Market Value Added</t>
  </si>
  <si>
    <r>
      <t xml:space="preserve">Company Valuation </t>
    </r>
    <r>
      <rPr>
        <i/>
        <sz val="8"/>
        <color theme="1"/>
        <rFont val="Calibri"/>
        <family val="2"/>
        <scheme val="minor"/>
      </rPr>
      <t>(Cash + Equity Value)</t>
    </r>
  </si>
  <si>
    <t xml:space="preserve">  Cash Flow Growth Rate</t>
  </si>
  <si>
    <t>Chapter Ten Illustration</t>
  </si>
  <si>
    <t>OPM Equity Model</t>
  </si>
  <si>
    <t>After-Tax Current ROE Hurdle Rate</t>
  </si>
  <si>
    <t>(Manipulate the restaurants built knowing beginning cash needs to be ~$250,000 per location)</t>
  </si>
  <si>
    <t xml:space="preserve">                         IRR    </t>
  </si>
  <si>
    <t>OPM Target Current Pre-Tax ROE</t>
  </si>
  <si>
    <t>Income Tax Rate</t>
  </si>
  <si>
    <t>YOM Equity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</si>
</sst>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_);_(@_)"/>
    <numFmt numFmtId="166" formatCode="0.0%"/>
    <numFmt numFmtId="167" formatCode="_(* #,##0.000_);_(* \(#,##0.000\);_(* &quot;-&quot;??_);_(@_)"/>
    <numFmt numFmtId="168" formatCode=";;;"/>
    <numFmt numFmtId="169" formatCode="_(* #,##0_);_(* \(#,##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48"/>
      <color theme="1"/>
      <name val="Arial"/>
      <family val="2"/>
    </font>
    <font>
      <sz val="16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0" applyNumberFormat="1"/>
    <xf numFmtId="9" fontId="0" fillId="0" borderId="0" xfId="2" applyFont="1"/>
    <xf numFmtId="166" fontId="0" fillId="0" borderId="0" xfId="2" applyNumberFormat="1" applyFont="1"/>
    <xf numFmtId="9" fontId="0" fillId="0" borderId="0" xfId="2" applyNumberFormat="1" applyFont="1"/>
    <xf numFmtId="10" fontId="0" fillId="0" borderId="0" xfId="2" applyNumberFormat="1" applyFont="1"/>
    <xf numFmtId="10" fontId="0" fillId="0" borderId="0" xfId="0" applyNumberFormat="1"/>
    <xf numFmtId="4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5" fontId="0" fillId="0" borderId="0" xfId="1" applyNumberFormat="1" applyFont="1"/>
    <xf numFmtId="5" fontId="0" fillId="0" borderId="0" xfId="0" applyNumberFormat="1"/>
    <xf numFmtId="9" fontId="0" fillId="0" borderId="0" xfId="0" applyNumberFormat="1"/>
    <xf numFmtId="167" fontId="0" fillId="0" borderId="0" xfId="0" applyNumberFormat="1"/>
    <xf numFmtId="0" fontId="0" fillId="0" borderId="1" xfId="0" applyBorder="1" applyAlignment="1">
      <alignment horizontal="right"/>
    </xf>
    <xf numFmtId="168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164" fontId="4" fillId="0" borderId="0" xfId="1" applyNumberFormat="1" applyFont="1"/>
    <xf numFmtId="166" fontId="4" fillId="0" borderId="0" xfId="2" applyNumberFormat="1" applyFont="1"/>
    <xf numFmtId="0" fontId="0" fillId="2" borderId="0" xfId="0" applyFill="1"/>
    <xf numFmtId="5" fontId="0" fillId="2" borderId="0" xfId="1" applyNumberFormat="1" applyFont="1" applyFill="1"/>
    <xf numFmtId="164" fontId="5" fillId="0" borderId="0" xfId="1" applyNumberFormat="1" applyFont="1"/>
    <xf numFmtId="166" fontId="5" fillId="0" borderId="0" xfId="2" applyNumberFormat="1" applyFont="1"/>
    <xf numFmtId="164" fontId="1" fillId="0" borderId="0" xfId="1" applyNumberFormat="1" applyFont="1"/>
    <xf numFmtId="0" fontId="5" fillId="0" borderId="0" xfId="0" applyFont="1" applyAlignment="1">
      <alignment horizontal="center"/>
    </xf>
    <xf numFmtId="0" fontId="8" fillId="0" borderId="0" xfId="0" applyFont="1"/>
    <xf numFmtId="0" fontId="0" fillId="0" borderId="1" xfId="0" quotePrefix="1" applyBorder="1" applyAlignment="1">
      <alignment horizontal="left" wrapText="1"/>
    </xf>
    <xf numFmtId="166" fontId="9" fillId="0" borderId="0" xfId="2" applyNumberFormat="1" applyFont="1"/>
    <xf numFmtId="10" fontId="9" fillId="0" borderId="0" xfId="0" applyNumberFormat="1" applyFont="1"/>
    <xf numFmtId="10" fontId="9" fillId="0" borderId="0" xfId="2" applyNumberFormat="1" applyFont="1"/>
    <xf numFmtId="43" fontId="9" fillId="0" borderId="0" xfId="1" applyFont="1"/>
    <xf numFmtId="169" fontId="0" fillId="0" borderId="0" xfId="0" applyNumberFormat="1"/>
    <xf numFmtId="5" fontId="5" fillId="0" borderId="0" xfId="0" applyNumberFormat="1" applyFont="1"/>
    <xf numFmtId="5" fontId="9" fillId="0" borderId="0" xfId="0" applyNumberFormat="1" applyFont="1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100% OPM Equity with</a:t>
            </a:r>
            <a:r>
              <a:rPr lang="en-US" sz="1600" baseline="0"/>
              <a:t> an 8% Preference and 23.5% Ownership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2569072940133"/>
          <c:y val="0.17171296296296296"/>
          <c:w val="0.86570052616960214"/>
          <c:h val="0.6149843248760571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'OPM Equity Model'!$I$48</c:f>
              <c:strCache>
                <c:ptCount val="1"/>
                <c:pt idx="0">
                  <c:v>OPM Equity Share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47625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DD-4574-B081-7C841B80DBD4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DD-4574-B081-7C841B80DBD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DD-4574-B081-7C841B80DBD4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CDD-4574-B081-7C841B80DBD4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DD-4574-B081-7C841B80DBD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CDD-4574-B081-7C841B80DBD4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DD-4574-B081-7C841B80DBD4}"/>
              </c:ext>
            </c:extLst>
          </c:dPt>
          <c:dPt>
            <c:idx val="7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70C-4773-A1DD-B790E80544E5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70C-4773-A1DD-B790E80544E5}"/>
              </c:ext>
            </c:extLst>
          </c:dPt>
          <c:dPt>
            <c:idx val="9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70C-4773-A1DD-B790E80544E5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70C-4773-A1DD-B790E80544E5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70C-4773-A1DD-B790E80544E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476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0C-4773-A1DD-B790E80544E5}"/>
              </c:ext>
            </c:extLst>
          </c:dPt>
          <c:cat>
            <c:numRef>
              <c:f>'OPM Equity Model'!$H$49:$H$67</c:f>
              <c:numCache>
                <c:formatCode>0%</c:formatCode>
                <c:ptCount val="19"/>
                <c:pt idx="0">
                  <c:v>0</c:v>
                </c:pt>
                <c:pt idx="1">
                  <c:v>-0.05</c:v>
                </c:pt>
                <c:pt idx="2">
                  <c:v>-0.1</c:v>
                </c:pt>
                <c:pt idx="3">
                  <c:v>-0.15</c:v>
                </c:pt>
                <c:pt idx="4">
                  <c:v>-0.2</c:v>
                </c:pt>
                <c:pt idx="5">
                  <c:v>-0.25</c:v>
                </c:pt>
                <c:pt idx="6">
                  <c:v>-0.30000000000000004</c:v>
                </c:pt>
                <c:pt idx="7">
                  <c:v>-0.35</c:v>
                </c:pt>
                <c:pt idx="8">
                  <c:v>-0.4</c:v>
                </c:pt>
                <c:pt idx="9">
                  <c:v>-0.44999999999999996</c:v>
                </c:pt>
                <c:pt idx="10">
                  <c:v>-0.5</c:v>
                </c:pt>
                <c:pt idx="11">
                  <c:v>-0.55000000000000004</c:v>
                </c:pt>
                <c:pt idx="12">
                  <c:v>-0.6</c:v>
                </c:pt>
                <c:pt idx="13">
                  <c:v>-0.65</c:v>
                </c:pt>
                <c:pt idx="14">
                  <c:v>-0.7</c:v>
                </c:pt>
                <c:pt idx="15">
                  <c:v>-0.75</c:v>
                </c:pt>
                <c:pt idx="16">
                  <c:v>-0.8</c:v>
                </c:pt>
                <c:pt idx="17">
                  <c:v>-0.85</c:v>
                </c:pt>
                <c:pt idx="18">
                  <c:v>-0.9</c:v>
                </c:pt>
              </c:numCache>
            </c:numRef>
          </c:cat>
          <c:val>
            <c:numRef>
              <c:f>'OPM Equity Model'!$I$49:$I$67</c:f>
              <c:numCache>
                <c:formatCode>0.00%</c:formatCode>
                <c:ptCount val="19"/>
                <c:pt idx="0">
                  <c:v>0.11764705882352941</c:v>
                </c:pt>
                <c:pt idx="1">
                  <c:v>0.11764705882352941</c:v>
                </c:pt>
                <c:pt idx="2">
                  <c:v>0.11764705882352941</c:v>
                </c:pt>
                <c:pt idx="3">
                  <c:v>0.11764705882352941</c:v>
                </c:pt>
                <c:pt idx="4">
                  <c:v>0.11764705882352941</c:v>
                </c:pt>
                <c:pt idx="5">
                  <c:v>0.11764705882352941</c:v>
                </c:pt>
                <c:pt idx="6">
                  <c:v>0.11764705882352941</c:v>
                </c:pt>
                <c:pt idx="7">
                  <c:v>0.11764705882352941</c:v>
                </c:pt>
                <c:pt idx="8">
                  <c:v>0.11764705882352941</c:v>
                </c:pt>
                <c:pt idx="9">
                  <c:v>0.11764705882352941</c:v>
                </c:pt>
                <c:pt idx="10">
                  <c:v>0.11764705882352941</c:v>
                </c:pt>
                <c:pt idx="11">
                  <c:v>0.11764705882352941</c:v>
                </c:pt>
                <c:pt idx="12">
                  <c:v>0.11764705882352941</c:v>
                </c:pt>
                <c:pt idx="13">
                  <c:v>0.13445378151260504</c:v>
                </c:pt>
                <c:pt idx="14">
                  <c:v>0.15686274509803921</c:v>
                </c:pt>
                <c:pt idx="15">
                  <c:v>0.18823529411764706</c:v>
                </c:pt>
                <c:pt idx="16">
                  <c:v>0.23529411764705882</c:v>
                </c:pt>
                <c:pt idx="17">
                  <c:v>0.31372549019607843</c:v>
                </c:pt>
                <c:pt idx="18">
                  <c:v>0.47058823529411764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DD-4574-B081-7C841B80D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2443264"/>
        <c:axId val="1686649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'OPM Equity Model'!$H$48</c15:sqref>
                        </c15:formulaRef>
                      </c:ext>
                    </c:extLst>
                    <c:strCache>
                      <c:ptCount val="1"/>
                      <c:pt idx="0">
                        <c:v>Cash Flow Drop vs. Predicted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'OPM Equity Model'!$H$49:$H$67</c15:sqref>
                        </c15:formulaRef>
                      </c:ext>
                    </c:extLst>
                    <c:numCache>
                      <c:formatCode>0%</c:formatCode>
                      <c:ptCount val="19"/>
                      <c:pt idx="0">
                        <c:v>0</c:v>
                      </c:pt>
                      <c:pt idx="1">
                        <c:v>-0.05</c:v>
                      </c:pt>
                      <c:pt idx="2">
                        <c:v>-0.1</c:v>
                      </c:pt>
                      <c:pt idx="3">
                        <c:v>-0.15</c:v>
                      </c:pt>
                      <c:pt idx="4">
                        <c:v>-0.2</c:v>
                      </c:pt>
                      <c:pt idx="5">
                        <c:v>-0.25</c:v>
                      </c:pt>
                      <c:pt idx="6">
                        <c:v>-0.30000000000000004</c:v>
                      </c:pt>
                      <c:pt idx="7">
                        <c:v>-0.35</c:v>
                      </c:pt>
                      <c:pt idx="8">
                        <c:v>-0.4</c:v>
                      </c:pt>
                      <c:pt idx="9">
                        <c:v>-0.44999999999999996</c:v>
                      </c:pt>
                      <c:pt idx="10">
                        <c:v>-0.5</c:v>
                      </c:pt>
                      <c:pt idx="11">
                        <c:v>-0.55000000000000004</c:v>
                      </c:pt>
                      <c:pt idx="12">
                        <c:v>-0.6</c:v>
                      </c:pt>
                      <c:pt idx="13">
                        <c:v>-0.65</c:v>
                      </c:pt>
                      <c:pt idx="14">
                        <c:v>-0.7</c:v>
                      </c:pt>
                      <c:pt idx="15">
                        <c:v>-0.75</c:v>
                      </c:pt>
                      <c:pt idx="16">
                        <c:v>-0.8</c:v>
                      </c:pt>
                      <c:pt idx="17">
                        <c:v>-0.85</c:v>
                      </c:pt>
                      <c:pt idx="18">
                        <c:v>-0.9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'OPM Equity Model'!$H$49:$H$67</c15:sqref>
                        </c15:formulaRef>
                      </c:ext>
                    </c:extLst>
                    <c:numCache>
                      <c:formatCode>0%</c:formatCode>
                      <c:ptCount val="19"/>
                      <c:pt idx="0">
                        <c:v>0</c:v>
                      </c:pt>
                      <c:pt idx="1">
                        <c:v>-0.05</c:v>
                      </c:pt>
                      <c:pt idx="2">
                        <c:v>-0.1</c:v>
                      </c:pt>
                      <c:pt idx="3">
                        <c:v>-0.15</c:v>
                      </c:pt>
                      <c:pt idx="4">
                        <c:v>-0.2</c:v>
                      </c:pt>
                      <c:pt idx="5">
                        <c:v>-0.25</c:v>
                      </c:pt>
                      <c:pt idx="6">
                        <c:v>-0.30000000000000004</c:v>
                      </c:pt>
                      <c:pt idx="7">
                        <c:v>-0.35</c:v>
                      </c:pt>
                      <c:pt idx="8">
                        <c:v>-0.4</c:v>
                      </c:pt>
                      <c:pt idx="9">
                        <c:v>-0.44999999999999996</c:v>
                      </c:pt>
                      <c:pt idx="10">
                        <c:v>-0.5</c:v>
                      </c:pt>
                      <c:pt idx="11">
                        <c:v>-0.55000000000000004</c:v>
                      </c:pt>
                      <c:pt idx="12">
                        <c:v>-0.6</c:v>
                      </c:pt>
                      <c:pt idx="13">
                        <c:v>-0.65</c:v>
                      </c:pt>
                      <c:pt idx="14">
                        <c:v>-0.7</c:v>
                      </c:pt>
                      <c:pt idx="15">
                        <c:v>-0.75</c:v>
                      </c:pt>
                      <c:pt idx="16">
                        <c:v>-0.8</c:v>
                      </c:pt>
                      <c:pt idx="17">
                        <c:v>-0.85</c:v>
                      </c:pt>
                      <c:pt idx="18">
                        <c:v>-0.9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CDD-4574-B081-7C841B80DBD4}"/>
                  </c:ext>
                </c:extLst>
              </c15:ser>
            </c15:filteredBarSeries>
          </c:ext>
        </c:extLst>
      </c:barChart>
      <c:catAx>
        <c:axId val="1432443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Cash Flow Deviation</a:t>
                </a:r>
                <a:r>
                  <a:rPr lang="en-US" baseline="0"/>
                  <a:t> From Target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6649120"/>
        <c:crosses val="autoZero"/>
        <c:auto val="1"/>
        <c:lblAlgn val="ctr"/>
        <c:lblOffset val="100"/>
        <c:noMultiLvlLbl val="0"/>
      </c:catAx>
      <c:valAx>
        <c:axId val="168664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OPM Equity</a:t>
                </a:r>
                <a:r>
                  <a:rPr lang="en-US" baseline="0"/>
                  <a:t> Cash Flow Share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868487724818058E-2"/>
              <c:y val="0.19531605424321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244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463830</xdr:colOff>
      <xdr:row>47</xdr:row>
      <xdr:rowOff>153379</xdr:rowOff>
    </xdr:from>
    <xdr:to>
      <xdr:col>21</xdr:col>
      <xdr:colOff>26893</xdr:colOff>
      <xdr:row>62</xdr:row>
      <xdr:rowOff>181954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1A5C01-279B-46F4-AEE0-D230CC9A03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156475</xdr:colOff>
      <xdr:row>53</xdr:row>
      <xdr:rowOff>48254</xdr:rowOff>
    </xdr:from>
    <xdr:ext cx="436786" cy="12261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D04769-8825-4758-BF54-246348F205B5}"/>
            </a:ext>
          </a:extLst>
        </xdr:cNvPr>
        <xdr:cNvSpPr txBox="1"/>
      </xdr:nvSpPr>
      <xdr:spPr>
        <a:xfrm rot="16200000">
          <a:off x="5076765" y="8767764"/>
          <a:ext cx="122610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Cash Flow As a %</a:t>
          </a:r>
        </a:p>
        <a:p>
          <a:r>
            <a:rPr lang="en-US" sz="1100" b="1"/>
            <a:t>Of Predicted Cash</a:t>
          </a:r>
        </a:p>
      </xdr:txBody>
    </xdr:sp>
    <xdr:clientData/>
  </xdr:oneCellAnchor>
  <xdr:oneCellAnchor>
    <xdr:from>
      <xdr:col>12</xdr:col>
      <xdr:colOff>350836</xdr:colOff>
      <xdr:row>51</xdr:row>
      <xdr:rowOff>22412</xdr:rowOff>
    </xdr:from>
    <xdr:ext cx="375564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B65E9F0-EF74-49CB-9BA0-2B31574A69C1}"/>
            </a:ext>
          </a:extLst>
        </xdr:cNvPr>
        <xdr:cNvSpPr txBox="1"/>
      </xdr:nvSpPr>
      <xdr:spPr>
        <a:xfrm>
          <a:off x="12602601" y="10346765"/>
          <a:ext cx="3755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OPM</a:t>
          </a:r>
          <a:r>
            <a:rPr lang="en-US" sz="1100" baseline="0"/>
            <a:t> Preferred equity distributions equal equity ownership %</a:t>
          </a:r>
          <a:endParaRPr lang="en-US" sz="1100"/>
        </a:p>
      </xdr:txBody>
    </xdr:sp>
    <xdr:clientData/>
  </xdr:oneCellAnchor>
  <xdr:oneCellAnchor>
    <xdr:from>
      <xdr:col>12</xdr:col>
      <xdr:colOff>346074</xdr:colOff>
      <xdr:row>52</xdr:row>
      <xdr:rowOff>11861</xdr:rowOff>
    </xdr:from>
    <xdr:ext cx="376648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7577BC0-A884-423A-98D8-AB378A98B514}"/>
            </a:ext>
          </a:extLst>
        </xdr:cNvPr>
        <xdr:cNvSpPr txBox="1"/>
      </xdr:nvSpPr>
      <xdr:spPr>
        <a:xfrm>
          <a:off x="12597839" y="10522979"/>
          <a:ext cx="37664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OPM</a:t>
          </a:r>
          <a:r>
            <a:rPr lang="en-US" sz="1100" baseline="0"/>
            <a:t> Preferred Equity distributions exceed equity ownership %</a:t>
          </a:r>
          <a:endParaRPr lang="en-US" sz="1100"/>
        </a:p>
      </xdr:txBody>
    </xdr:sp>
    <xdr:clientData/>
  </xdr:oneCellAnchor>
  <xdr:twoCellAnchor editAs="oneCell">
    <xdr:from>
      <xdr:col>0</xdr:col>
      <xdr:colOff>76200</xdr:colOff>
      <xdr:row>1</xdr:row>
      <xdr:rowOff>111125</xdr:rowOff>
    </xdr:from>
    <xdr:to>
      <xdr:col>3</xdr:col>
      <xdr:colOff>436215</xdr:colOff>
      <xdr:row>1</xdr:row>
      <xdr:rowOff>714375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6EF3C38-54A1-484B-A8AA-7D373273D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301625"/>
          <a:ext cx="5074890" cy="6032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0.1236</cdr:x>
      <cdr:y>0.24393</cdr:y>
    </cdr:from>
    <cdr:to>
      <cdr:x>0.16222</cdr:x>
      <cdr:y>0.2908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047FF280-E51D-4F9D-9A77-2F8285289BF2}"/>
            </a:ext>
          </a:extLst>
        </cdr:cNvPr>
        <cdr:cNvSpPr/>
      </cdr:nvSpPr>
      <cdr:spPr>
        <a:xfrm xmlns:a="http://schemas.openxmlformats.org/drawingml/2006/main">
          <a:off x="838229" y="669145"/>
          <a:ext cx="261913" cy="12857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0.12266</cdr:x>
      <cdr:y>0.30324</cdr:y>
    </cdr:from>
    <cdr:to>
      <cdr:x>0.16128</cdr:x>
      <cdr:y>0.35011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44100C97-9C36-44E0-B58B-D626B7D10A88}"/>
            </a:ext>
          </a:extLst>
        </cdr:cNvPr>
        <cdr:cNvSpPr/>
      </cdr:nvSpPr>
      <cdr:spPr>
        <a:xfrm xmlns:a="http://schemas.openxmlformats.org/drawingml/2006/main">
          <a:off x="831826" y="831837"/>
          <a:ext cx="261913" cy="12857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8BD8-251A-463F-8454-6EE2218E42D4}">
  <dimension ref="A1:BA70"/>
  <sheetViews>
    <sheetView showGridLines="0" tabSelected="1" zoomScale="80" zoomScaleNormal="80" workbookViewId="0">
      <selection activeCell="A4" sqref="A4:G4"/>
    </sheetView>
  </sheetViews>
  <sheetFormatPr baseColWidth="10" defaultColWidth="8.83203125" defaultRowHeight="15" x14ac:dyDescent="0.2"/>
  <cols>
    <col min="1" max="1" width="30.6640625" customWidth="1"/>
    <col min="2" max="6" width="15.6640625" customWidth="1"/>
    <col min="7" max="7" width="12.6640625" customWidth="1"/>
    <col min="8" max="8" width="15.6640625" customWidth="1"/>
    <col min="9" max="14" width="9.6640625" customWidth="1"/>
    <col min="15" max="15" width="12.6640625" customWidth="1"/>
  </cols>
  <sheetData>
    <row r="1" spans="1:53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</row>
    <row r="2" spans="1:53" ht="64" customHeight="1" x14ac:dyDescent="0.55000000000000004">
      <c r="A2" s="44"/>
      <c r="B2" s="44"/>
      <c r="C2" s="44"/>
      <c r="D2" s="44"/>
      <c r="E2" s="44"/>
      <c r="F2" s="44"/>
      <c r="G2" s="4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</row>
    <row r="3" spans="1:53" ht="32" customHeight="1" x14ac:dyDescent="0.2">
      <c r="A3" s="45" t="s">
        <v>49</v>
      </c>
      <c r="B3" s="45"/>
      <c r="C3" s="45"/>
      <c r="D3" s="45"/>
      <c r="E3" s="45"/>
      <c r="F3" s="45"/>
      <c r="G3" s="45"/>
    </row>
    <row r="4" spans="1:53" ht="28" x14ac:dyDescent="0.3">
      <c r="A4" s="46" t="s">
        <v>50</v>
      </c>
      <c r="B4" s="46"/>
      <c r="C4" s="46"/>
      <c r="D4" s="46"/>
      <c r="E4" s="46"/>
      <c r="F4" s="46"/>
      <c r="G4" s="46"/>
    </row>
    <row r="8" spans="1:53" x14ac:dyDescent="0.2">
      <c r="C8" s="10"/>
      <c r="D8" s="7"/>
    </row>
    <row r="10" spans="1:53" x14ac:dyDescent="0.2">
      <c r="C10" s="10"/>
    </row>
    <row r="11" spans="1:53" x14ac:dyDescent="0.2">
      <c r="B11" s="20" t="s">
        <v>11</v>
      </c>
      <c r="C11" s="20" t="s">
        <v>12</v>
      </c>
      <c r="D11" s="20" t="s">
        <v>13</v>
      </c>
      <c r="E11" s="20" t="s">
        <v>14</v>
      </c>
      <c r="F11" s="20" t="s">
        <v>15</v>
      </c>
    </row>
    <row r="12" spans="1:53" x14ac:dyDescent="0.2">
      <c r="A12" t="s">
        <v>4</v>
      </c>
      <c r="B12" s="33">
        <v>1</v>
      </c>
      <c r="C12" s="33">
        <v>1</v>
      </c>
      <c r="D12" s="33">
        <v>2</v>
      </c>
      <c r="E12" s="33">
        <v>2</v>
      </c>
      <c r="F12" s="33">
        <v>4</v>
      </c>
    </row>
    <row r="13" spans="1:53" x14ac:dyDescent="0.2">
      <c r="A13" s="25" t="s">
        <v>52</v>
      </c>
      <c r="B13" s="11"/>
      <c r="C13" s="11"/>
      <c r="D13" s="11"/>
      <c r="E13" s="11"/>
      <c r="F13" s="11"/>
    </row>
    <row r="14" spans="1:53" x14ac:dyDescent="0.2">
      <c r="A14" s="25"/>
      <c r="B14" s="24"/>
      <c r="C14" s="24"/>
      <c r="D14" s="24"/>
      <c r="E14" s="24"/>
      <c r="F14" s="24"/>
    </row>
    <row r="15" spans="1:53" x14ac:dyDescent="0.2">
      <c r="A15" t="s">
        <v>3</v>
      </c>
      <c r="B15" s="12">
        <v>0</v>
      </c>
      <c r="C15" s="12">
        <f>B21</f>
        <v>159375</v>
      </c>
      <c r="D15" s="12">
        <f>C21</f>
        <v>478125</v>
      </c>
      <c r="E15" s="12">
        <f>D21</f>
        <v>615625</v>
      </c>
      <c r="F15" s="12">
        <f>E21</f>
        <v>1071875</v>
      </c>
    </row>
    <row r="16" spans="1:53" x14ac:dyDescent="0.2">
      <c r="A16" t="s">
        <v>0</v>
      </c>
      <c r="B16" s="32">
        <f>B48</f>
        <v>250000</v>
      </c>
      <c r="C16" s="2"/>
      <c r="D16" s="2"/>
      <c r="E16" s="2"/>
      <c r="F16" s="2"/>
    </row>
    <row r="17" spans="1:7" x14ac:dyDescent="0.2">
      <c r="A17" t="s">
        <v>1</v>
      </c>
      <c r="B17" s="2"/>
      <c r="C17" s="32">
        <f>B49</f>
        <v>250000</v>
      </c>
      <c r="D17" s="2"/>
      <c r="E17" s="2"/>
      <c r="F17" s="2"/>
    </row>
    <row r="18" spans="1:7" x14ac:dyDescent="0.2">
      <c r="A18" t="s">
        <v>37</v>
      </c>
      <c r="B18" s="2">
        <f>-B16</f>
        <v>-250000</v>
      </c>
      <c r="C18" s="2">
        <f>(B48)*-C12</f>
        <v>-250000</v>
      </c>
      <c r="D18" s="2">
        <f>B48*-D12</f>
        <v>-500000</v>
      </c>
      <c r="E18" s="2">
        <f>B48*-E12</f>
        <v>-500000</v>
      </c>
      <c r="F18" s="2">
        <f>B48*-F12</f>
        <v>-1000000</v>
      </c>
      <c r="G18" s="10"/>
    </row>
    <row r="19" spans="1:7" x14ac:dyDescent="0.2">
      <c r="A19" t="s">
        <v>2</v>
      </c>
      <c r="B19" s="30">
        <v>159375</v>
      </c>
      <c r="C19" s="2">
        <f>B19*(B12+C12)</f>
        <v>318750</v>
      </c>
      <c r="D19" s="2">
        <f>B19*(B12+C12+D12)</f>
        <v>637500</v>
      </c>
      <c r="E19" s="2">
        <f>B19*(B12+C12+D12+E12)</f>
        <v>956250</v>
      </c>
      <c r="F19" s="2">
        <f>B19*(B12+C12+D12+E12+F12)</f>
        <v>1593750</v>
      </c>
    </row>
    <row r="20" spans="1:7" x14ac:dyDescent="0.2">
      <c r="A20" s="25" t="s">
        <v>48</v>
      </c>
      <c r="B20" s="26"/>
      <c r="C20" s="27">
        <f>C19/B19-1</f>
        <v>1</v>
      </c>
      <c r="D20" s="27">
        <f t="shared" ref="D20:F20" si="0">D19/C19-1</f>
        <v>1</v>
      </c>
      <c r="E20" s="27">
        <f t="shared" si="0"/>
        <v>0.5</v>
      </c>
      <c r="F20" s="27">
        <f t="shared" si="0"/>
        <v>0.66666666666666674</v>
      </c>
    </row>
    <row r="21" spans="1:7" x14ac:dyDescent="0.2">
      <c r="A21" t="s">
        <v>5</v>
      </c>
      <c r="B21" s="12">
        <f>SUM(B15:B19)</f>
        <v>159375</v>
      </c>
      <c r="C21" s="12">
        <f>SUM(C15:C19)</f>
        <v>478125</v>
      </c>
      <c r="D21" s="12">
        <f>SUM(D15:D19)</f>
        <v>615625</v>
      </c>
      <c r="E21" s="12">
        <f>SUM(E15:E19)</f>
        <v>1071875</v>
      </c>
      <c r="F21" s="12">
        <f>SUM(F15:F19)</f>
        <v>1665625</v>
      </c>
    </row>
    <row r="23" spans="1:7" x14ac:dyDescent="0.2">
      <c r="A23" t="s">
        <v>47</v>
      </c>
      <c r="B23" s="12">
        <f>B19/B59+B21</f>
        <v>1221874.9999999998</v>
      </c>
      <c r="C23" s="12">
        <f>C19/0.15+C21</f>
        <v>2603125</v>
      </c>
      <c r="D23" s="12">
        <f>D19/0.15+D21</f>
        <v>4865625</v>
      </c>
      <c r="E23" s="12">
        <f>E19/0.15+E21</f>
        <v>7446875</v>
      </c>
      <c r="F23" s="12">
        <f>F19/0.15+F21</f>
        <v>12290625</v>
      </c>
    </row>
    <row r="24" spans="1:7" x14ac:dyDescent="0.2">
      <c r="A24" s="23"/>
    </row>
    <row r="25" spans="1:7" x14ac:dyDescent="0.2">
      <c r="A25" t="s">
        <v>6</v>
      </c>
      <c r="B25" s="7">
        <v>1</v>
      </c>
      <c r="C25" s="8">
        <f>B25-C63</f>
        <v>0.88235294117647056</v>
      </c>
      <c r="D25" s="8">
        <f>C25</f>
        <v>0.88235294117647056</v>
      </c>
      <c r="E25" s="8">
        <f>D25</f>
        <v>0.88235294117647056</v>
      </c>
      <c r="F25" s="8">
        <f>E25</f>
        <v>0.88235294117647056</v>
      </c>
    </row>
    <row r="26" spans="1:7" x14ac:dyDescent="0.2">
      <c r="B26" s="7"/>
      <c r="C26" s="8"/>
      <c r="D26" s="8"/>
      <c r="E26" s="8"/>
      <c r="F26" s="8"/>
    </row>
    <row r="27" spans="1:7" x14ac:dyDescent="0.2">
      <c r="A27" t="s">
        <v>16</v>
      </c>
      <c r="B27" s="7">
        <f>B19/B16</f>
        <v>0.63749999999999996</v>
      </c>
      <c r="C27" s="8">
        <f>(C19*C25)/(B16+B19*C25)</f>
        <v>0.72</v>
      </c>
      <c r="D27" s="8">
        <f>(D19*D25)/(($C$19+$B$19)*D25+$B$16)</f>
        <v>0.83720930232558144</v>
      </c>
      <c r="E27" s="8">
        <f>(E19*E25)/(($C$19+$B$19+$D$19)*E25+$B$16)</f>
        <v>0.68354430379746833</v>
      </c>
      <c r="F27" s="8">
        <f>(F19*F25)/(($C$19+$B$19+$D$19+$E$19)*F25+$B$16)</f>
        <v>0.67669172932330823</v>
      </c>
    </row>
    <row r="28" spans="1:7" x14ac:dyDescent="0.2">
      <c r="A28" t="s">
        <v>17</v>
      </c>
      <c r="B28" s="7"/>
      <c r="C28" s="8">
        <f>C19*$E$33/C17</f>
        <v>0.15000000000000002</v>
      </c>
      <c r="D28" s="8">
        <f>(D19*$E$33)/((C19*$E$33)+$C$17)</f>
        <v>0.26086956521739135</v>
      </c>
      <c r="E28" s="8">
        <f>(E19*$E$33)/(((C19+D19)*$E$33)+$C$17)</f>
        <v>0.31034482758620696</v>
      </c>
      <c r="F28" s="8">
        <f>(F19*$E$33)/(((C19+D19+E19)*$E$33)+$C$17)</f>
        <v>0.39473684210526316</v>
      </c>
    </row>
    <row r="30" spans="1:7" x14ac:dyDescent="0.2">
      <c r="D30" s="28" t="s">
        <v>7</v>
      </c>
      <c r="E30" s="28"/>
      <c r="F30" s="29">
        <f>F19/B59</f>
        <v>10624999.999999998</v>
      </c>
    </row>
    <row r="31" spans="1:7" x14ac:dyDescent="0.2">
      <c r="F31" s="12"/>
    </row>
    <row r="32" spans="1:7" x14ac:dyDescent="0.2">
      <c r="D32" t="s">
        <v>8</v>
      </c>
      <c r="E32" s="8">
        <f>F25</f>
        <v>0.88235294117647056</v>
      </c>
      <c r="F32" s="12">
        <f>F30*F25</f>
        <v>9374999.9999999981</v>
      </c>
    </row>
    <row r="33" spans="1:10" x14ac:dyDescent="0.2">
      <c r="D33" t="s">
        <v>10</v>
      </c>
      <c r="E33" s="8">
        <f>1-E32</f>
        <v>0.11764705882352944</v>
      </c>
      <c r="F33" s="12">
        <f>F30-F32</f>
        <v>1250000</v>
      </c>
    </row>
    <row r="34" spans="1:10" x14ac:dyDescent="0.2">
      <c r="E34" s="8"/>
      <c r="F34" s="12"/>
    </row>
    <row r="35" spans="1:10" x14ac:dyDescent="0.2">
      <c r="D35" t="s">
        <v>9</v>
      </c>
      <c r="F35" s="2">
        <f>SUM(B19:F19)+B16+C17</f>
        <v>4165625</v>
      </c>
    </row>
    <row r="36" spans="1:10" x14ac:dyDescent="0.2">
      <c r="D36" s="28" t="s">
        <v>46</v>
      </c>
      <c r="E36" s="28"/>
      <c r="F36" s="29">
        <f>F30-F35</f>
        <v>6459374.9999999981</v>
      </c>
    </row>
    <row r="37" spans="1:10" x14ac:dyDescent="0.2">
      <c r="F37" s="12"/>
    </row>
    <row r="38" spans="1:10" x14ac:dyDescent="0.2">
      <c r="B38" s="14"/>
      <c r="C38" s="10"/>
      <c r="G38" s="13"/>
    </row>
    <row r="39" spans="1:10" x14ac:dyDescent="0.2">
      <c r="B39" s="14"/>
      <c r="D39" s="10"/>
      <c r="G39" s="13"/>
      <c r="I39" s="7"/>
      <c r="J39" s="15"/>
    </row>
    <row r="40" spans="1:10" x14ac:dyDescent="0.2">
      <c r="C40" s="43" t="s">
        <v>45</v>
      </c>
      <c r="D40" s="43"/>
      <c r="E40" s="43"/>
      <c r="F40" s="43"/>
      <c r="G40" s="43"/>
      <c r="H40" s="43"/>
    </row>
    <row r="41" spans="1:10" ht="16" x14ac:dyDescent="0.2">
      <c r="A41" s="8"/>
      <c r="B41" s="35" t="s">
        <v>53</v>
      </c>
      <c r="C41" s="16" t="s">
        <v>34</v>
      </c>
      <c r="D41" s="16" t="s">
        <v>11</v>
      </c>
      <c r="E41" s="16" t="s">
        <v>12</v>
      </c>
      <c r="F41" s="16" t="s">
        <v>13</v>
      </c>
      <c r="G41" s="16" t="s">
        <v>14</v>
      </c>
      <c r="H41" s="16" t="s">
        <v>15</v>
      </c>
    </row>
    <row r="42" spans="1:10" x14ac:dyDescent="0.2">
      <c r="A42" t="str">
        <f>"YOM Equity - "&amp;TEXT(C64,"##.##%")</f>
        <v>YOM Equity - 88.24%</v>
      </c>
      <c r="B42" s="14">
        <f>IRR(C42:H42)</f>
        <v>1.0644589586666817</v>
      </c>
      <c r="C42" s="10">
        <f>-B16</f>
        <v>-250000</v>
      </c>
      <c r="D42">
        <v>0</v>
      </c>
      <c r="E42">
        <v>0</v>
      </c>
      <c r="F42">
        <v>0</v>
      </c>
      <c r="G42">
        <v>0</v>
      </c>
      <c r="H42" s="13">
        <f>F32</f>
        <v>9374999.9999999981</v>
      </c>
      <c r="I42" s="14"/>
    </row>
    <row r="43" spans="1:10" x14ac:dyDescent="0.2">
      <c r="A43" t="str">
        <f>"OPM Equity - "&amp;TEXT(C63,"##.##%")</f>
        <v>OPM Equity - 11.76%</v>
      </c>
      <c r="B43" s="14">
        <f>IRR(D43:H43)</f>
        <v>0.49534878122118231</v>
      </c>
      <c r="D43" s="10">
        <f>-C17</f>
        <v>-250000</v>
      </c>
      <c r="E43">
        <v>0</v>
      </c>
      <c r="F43">
        <v>0</v>
      </c>
      <c r="G43">
        <v>0</v>
      </c>
      <c r="H43" s="13">
        <f>F33</f>
        <v>1250000</v>
      </c>
      <c r="I43" s="14"/>
    </row>
    <row r="45" spans="1:10" x14ac:dyDescent="0.2">
      <c r="B45" s="14"/>
      <c r="C45" s="10"/>
      <c r="H45" s="13"/>
    </row>
    <row r="46" spans="1:10" ht="16" x14ac:dyDescent="0.2">
      <c r="A46" s="34" t="s">
        <v>40</v>
      </c>
    </row>
    <row r="48" spans="1:10" x14ac:dyDescent="0.2">
      <c r="A48" t="s">
        <v>56</v>
      </c>
      <c r="B48" s="41">
        <v>250000</v>
      </c>
      <c r="C48" s="10"/>
      <c r="E48" s="18"/>
      <c r="F48" s="19" t="s">
        <v>38</v>
      </c>
      <c r="G48" s="21" t="s">
        <v>1</v>
      </c>
      <c r="H48" t="s">
        <v>30</v>
      </c>
      <c r="I48" t="s">
        <v>31</v>
      </c>
    </row>
    <row r="49" spans="1:9" x14ac:dyDescent="0.2">
      <c r="A49" t="s">
        <v>36</v>
      </c>
      <c r="B49" s="41">
        <v>250000</v>
      </c>
      <c r="C49" s="40"/>
      <c r="D49" s="2"/>
      <c r="F49" s="17">
        <f>C68</f>
        <v>0.11764705882352941</v>
      </c>
      <c r="G49" s="22" t="s">
        <v>44</v>
      </c>
      <c r="H49" s="4">
        <v>0</v>
      </c>
      <c r="I49" s="8">
        <f>I50</f>
        <v>0.11764705882352941</v>
      </c>
    </row>
    <row r="50" spans="1:9" x14ac:dyDescent="0.2">
      <c r="A50" t="s">
        <v>41</v>
      </c>
      <c r="B50" s="36">
        <f>IF((C17+C15)&gt;B16,B49/(B49+B48),(B49/(B48+B49+C15)))</f>
        <v>0.5</v>
      </c>
      <c r="C50" s="7"/>
      <c r="D50" s="1"/>
      <c r="E50" s="5">
        <v>0.1</v>
      </c>
      <c r="F50" s="7">
        <f t="dataTable" ref="F50:F63" dt2D="0" dtr="0" r1="B54"/>
        <v>0.47058823529411764</v>
      </c>
      <c r="G50" s="7">
        <v>0.94117647058823528</v>
      </c>
      <c r="H50" s="4">
        <v>-0.05</v>
      </c>
      <c r="I50" s="8">
        <f>I51</f>
        <v>0.11764705882352941</v>
      </c>
    </row>
    <row r="51" spans="1:9" x14ac:dyDescent="0.2">
      <c r="A51" t="s">
        <v>35</v>
      </c>
      <c r="B51" s="42">
        <f>B49/(1-B50)</f>
        <v>500000</v>
      </c>
      <c r="C51" s="3"/>
      <c r="E51" s="5">
        <v>0.15</v>
      </c>
      <c r="F51" s="7">
        <v>0.31372549019607843</v>
      </c>
      <c r="G51" s="7">
        <v>0.62745098039215685</v>
      </c>
      <c r="H51" s="4">
        <v>-0.1</v>
      </c>
      <c r="I51" s="8">
        <f>I52</f>
        <v>0.11764705882352941</v>
      </c>
    </row>
    <row r="52" spans="1:9" x14ac:dyDescent="0.2">
      <c r="A52" t="s">
        <v>42</v>
      </c>
      <c r="B52" s="31">
        <v>0.85</v>
      </c>
      <c r="C52" s="3"/>
      <c r="E52" s="5">
        <v>0.2</v>
      </c>
      <c r="F52" s="7">
        <v>0.23529411764705882</v>
      </c>
      <c r="G52" s="7">
        <v>0.47058823529411764</v>
      </c>
      <c r="H52" s="4">
        <v>-0.15</v>
      </c>
      <c r="I52" s="8">
        <f>I53</f>
        <v>0.11764705882352941</v>
      </c>
    </row>
    <row r="53" spans="1:9" x14ac:dyDescent="0.2">
      <c r="A53" t="s">
        <v>20</v>
      </c>
      <c r="B53" s="42">
        <f>B51*B52</f>
        <v>425000</v>
      </c>
      <c r="C53" s="4"/>
      <c r="D53" s="3"/>
      <c r="E53" s="5">
        <v>0.25</v>
      </c>
      <c r="F53" s="7">
        <v>0.18823529411764706</v>
      </c>
      <c r="G53" s="7">
        <v>0.37647058823529411</v>
      </c>
      <c r="H53" s="4">
        <v>-0.2</v>
      </c>
      <c r="I53" s="8">
        <f>I54</f>
        <v>0.11764705882352941</v>
      </c>
    </row>
    <row r="54" spans="1:9" x14ac:dyDescent="0.2">
      <c r="A54" t="s">
        <v>21</v>
      </c>
      <c r="B54" s="31">
        <v>1</v>
      </c>
      <c r="D54" s="9"/>
      <c r="E54" s="5">
        <v>0.3</v>
      </c>
      <c r="F54" s="7">
        <v>0.15686274509803921</v>
      </c>
      <c r="G54" s="7">
        <v>0.31372549019607843</v>
      </c>
      <c r="H54" s="4">
        <f>-(1-E63)</f>
        <v>-0.25</v>
      </c>
      <c r="I54" s="8">
        <f>F63</f>
        <v>0.11764705882352941</v>
      </c>
    </row>
    <row r="55" spans="1:9" x14ac:dyDescent="0.2">
      <c r="A55" t="s">
        <v>22</v>
      </c>
      <c r="B55" s="42">
        <f>B53*B54</f>
        <v>425000</v>
      </c>
      <c r="E55" s="5">
        <v>0.35</v>
      </c>
      <c r="F55" s="7">
        <v>0.13445378151260504</v>
      </c>
      <c r="G55" s="7">
        <v>0.26890756302521007</v>
      </c>
      <c r="H55" s="4">
        <f>-(1-E62)</f>
        <v>-0.30000000000000004</v>
      </c>
      <c r="I55" s="8">
        <f>F62</f>
        <v>0.11764705882352941</v>
      </c>
    </row>
    <row r="56" spans="1:9" x14ac:dyDescent="0.2">
      <c r="A56" t="s">
        <v>54</v>
      </c>
      <c r="B56" s="31">
        <v>0.2</v>
      </c>
      <c r="E56" s="5">
        <v>0.4</v>
      </c>
      <c r="F56" s="7">
        <v>0.11764705882352941</v>
      </c>
      <c r="G56" s="7">
        <v>0.23529411764705882</v>
      </c>
      <c r="H56" s="6">
        <f>-(1-E61)</f>
        <v>-0.35</v>
      </c>
      <c r="I56" s="8">
        <f>F61</f>
        <v>0.11764705882352941</v>
      </c>
    </row>
    <row r="57" spans="1:9" x14ac:dyDescent="0.2">
      <c r="A57" t="s">
        <v>43</v>
      </c>
      <c r="B57" s="39">
        <f>B52/B56</f>
        <v>4.25</v>
      </c>
      <c r="E57" s="5">
        <v>0.45</v>
      </c>
      <c r="F57" s="7">
        <v>0.11764705882352941</v>
      </c>
      <c r="G57" s="7">
        <v>0.23529411764705882</v>
      </c>
      <c r="H57" s="6">
        <f>-(1-E60)</f>
        <v>-0.4</v>
      </c>
      <c r="I57" s="8">
        <f>F60</f>
        <v>0.11764705882352941</v>
      </c>
    </row>
    <row r="58" spans="1:9" x14ac:dyDescent="0.2">
      <c r="A58" t="s">
        <v>55</v>
      </c>
      <c r="B58" s="31">
        <v>0.25</v>
      </c>
      <c r="E58" s="5">
        <v>0.5</v>
      </c>
      <c r="F58" s="7">
        <v>0.11764705882352941</v>
      </c>
      <c r="G58" s="7">
        <v>0.23529411764705882</v>
      </c>
      <c r="H58" s="6">
        <f>-(1-E59)</f>
        <v>-0.44999999999999996</v>
      </c>
      <c r="I58" s="8">
        <f>F59</f>
        <v>0.11764705882352941</v>
      </c>
    </row>
    <row r="59" spans="1:9" x14ac:dyDescent="0.2">
      <c r="A59" t="s">
        <v>51</v>
      </c>
      <c r="B59" s="36">
        <f>B56*(1-B58)</f>
        <v>0.15000000000000002</v>
      </c>
      <c r="E59" s="5">
        <v>0.55000000000000004</v>
      </c>
      <c r="F59" s="7">
        <v>0.11764705882352941</v>
      </c>
      <c r="G59" s="7">
        <v>0.23529411764705885</v>
      </c>
      <c r="H59" s="6">
        <f>-(1-E58)</f>
        <v>-0.5</v>
      </c>
      <c r="I59" s="8">
        <f>F58</f>
        <v>0.11764705882352941</v>
      </c>
    </row>
    <row r="60" spans="1:9" x14ac:dyDescent="0.2">
      <c r="A60" t="s">
        <v>23</v>
      </c>
      <c r="B60" s="38">
        <f>B50/B57</f>
        <v>0.11764705882352941</v>
      </c>
      <c r="E60" s="5">
        <v>0.6</v>
      </c>
      <c r="F60" s="7">
        <v>0.11764705882352941</v>
      </c>
      <c r="G60" s="7">
        <v>0.23529411764705882</v>
      </c>
      <c r="H60" s="6">
        <f>-(1-E57)</f>
        <v>-0.55000000000000004</v>
      </c>
      <c r="I60" s="8">
        <f>F57</f>
        <v>0.11764705882352941</v>
      </c>
    </row>
    <row r="61" spans="1:9" x14ac:dyDescent="0.2">
      <c r="A61" t="s">
        <v>33</v>
      </c>
      <c r="B61" s="37">
        <f>1-B60</f>
        <v>0.88235294117647056</v>
      </c>
      <c r="C61" s="18" t="s">
        <v>39</v>
      </c>
      <c r="E61" s="5">
        <v>0.65</v>
      </c>
      <c r="F61" s="7">
        <v>0.11764705882352941</v>
      </c>
      <c r="G61" s="7">
        <v>0.23529411764705882</v>
      </c>
      <c r="H61" s="6">
        <f>-(1-E56)</f>
        <v>-0.6</v>
      </c>
      <c r="I61" s="8">
        <f>F56</f>
        <v>0.11764705882352941</v>
      </c>
    </row>
    <row r="62" spans="1:9" x14ac:dyDescent="0.2">
      <c r="A62" t="s">
        <v>18</v>
      </c>
      <c r="B62" s="31">
        <v>0.08</v>
      </c>
      <c r="C62" s="18"/>
      <c r="D62" s="8"/>
      <c r="E62" s="5">
        <v>0.7</v>
      </c>
      <c r="F62" s="7">
        <v>0.11764705882352941</v>
      </c>
      <c r="G62" s="7">
        <v>0.23529411764705882</v>
      </c>
      <c r="H62" s="6">
        <f>-(1-E55)</f>
        <v>-0.65</v>
      </c>
      <c r="I62" s="8">
        <f>F55</f>
        <v>0.13445378151260504</v>
      </c>
    </row>
    <row r="63" spans="1:9" x14ac:dyDescent="0.2">
      <c r="A63" t="s">
        <v>32</v>
      </c>
      <c r="B63" s="42">
        <f>B49*B56</f>
        <v>50000</v>
      </c>
      <c r="C63" s="7">
        <f>B65/B67</f>
        <v>0.11764705882352941</v>
      </c>
      <c r="E63" s="5">
        <v>0.75</v>
      </c>
      <c r="F63" s="7">
        <v>0.11764705882352941</v>
      </c>
      <c r="G63" s="7">
        <v>0.23529411764705882</v>
      </c>
      <c r="H63" s="6">
        <f>-(1-E54)</f>
        <v>-0.7</v>
      </c>
      <c r="I63" s="8">
        <f>F54</f>
        <v>0.15686274509803921</v>
      </c>
    </row>
    <row r="64" spans="1:9" x14ac:dyDescent="0.2">
      <c r="A64" t="s">
        <v>24</v>
      </c>
      <c r="B64" s="42">
        <f>B49*B62</f>
        <v>20000</v>
      </c>
      <c r="C64" s="7">
        <f>B66/B67</f>
        <v>0.88235294117647056</v>
      </c>
      <c r="H64" s="6">
        <f>-(1-E53)</f>
        <v>-0.75</v>
      </c>
      <c r="I64" s="8">
        <f>F53</f>
        <v>0.18823529411764706</v>
      </c>
    </row>
    <row r="65" spans="1:9" x14ac:dyDescent="0.2">
      <c r="A65" t="s">
        <v>19</v>
      </c>
      <c r="B65" s="42">
        <f>B55*B60</f>
        <v>50000</v>
      </c>
      <c r="C65" s="7"/>
      <c r="H65" s="6">
        <f>-(1-E52)</f>
        <v>-0.8</v>
      </c>
      <c r="I65" s="8">
        <f>F52</f>
        <v>0.23529411764705882</v>
      </c>
    </row>
    <row r="66" spans="1:9" x14ac:dyDescent="0.2">
      <c r="A66" t="s">
        <v>25</v>
      </c>
      <c r="B66" s="42">
        <f>B55*B61</f>
        <v>375000</v>
      </c>
      <c r="H66" s="6">
        <f>-(1-E51)</f>
        <v>-0.85</v>
      </c>
      <c r="I66" s="8">
        <f>F51</f>
        <v>0.31372549019607843</v>
      </c>
    </row>
    <row r="67" spans="1:9" x14ac:dyDescent="0.2">
      <c r="A67" t="s">
        <v>26</v>
      </c>
      <c r="B67" s="42">
        <f>B66+B65</f>
        <v>425000</v>
      </c>
      <c r="H67" s="6">
        <f>-(1-E50)</f>
        <v>-0.9</v>
      </c>
      <c r="I67" s="8">
        <f>F50</f>
        <v>0.47058823529411764</v>
      </c>
    </row>
    <row r="68" spans="1:9" x14ac:dyDescent="0.2">
      <c r="A68" t="s">
        <v>27</v>
      </c>
      <c r="B68" s="42">
        <f>MAX(B64:B65)</f>
        <v>50000</v>
      </c>
      <c r="C68" s="7">
        <f>B68/B70</f>
        <v>0.11764705882352941</v>
      </c>
    </row>
    <row r="69" spans="1:9" x14ac:dyDescent="0.2">
      <c r="A69" t="s">
        <v>28</v>
      </c>
      <c r="B69" s="42">
        <f>B67-B68</f>
        <v>375000</v>
      </c>
      <c r="C69" s="7">
        <f>B69/B70</f>
        <v>0.88235294117647056</v>
      </c>
    </row>
    <row r="70" spans="1:9" x14ac:dyDescent="0.2">
      <c r="A70" t="s">
        <v>29</v>
      </c>
      <c r="B70" s="42">
        <f>B69+B68</f>
        <v>425000</v>
      </c>
    </row>
  </sheetData>
  <mergeCells count="4">
    <mergeCell ref="C40:H40"/>
    <mergeCell ref="A2:G2"/>
    <mergeCell ref="A3:G3"/>
    <mergeCell ref="A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OPM Equity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Volk</dc:creator>
  <cp:lastModifiedBy>Microsoft Office User</cp:lastModifiedBy>
  <dcterms:created xsi:type="dcterms:W3CDTF">2020-10-20T03:29:00Z</dcterms:created>
  <dcterms:modified xsi:type="dcterms:W3CDTF">2022-05-10T18:54:14Z</dcterms:modified>
</cp:coreProperties>
</file>