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133dc82f542bdce/Desktop/"/>
    </mc:Choice>
  </mc:AlternateContent>
  <xr:revisionPtr revIDLastSave="12" documentId="8_{C64C26F0-8825-4025-86FC-CFA9CE01CE21}" xr6:coauthVersionLast="47" xr6:coauthVersionMax="47" xr10:uidLastSave="{00EB508C-6EFD-4893-B8D7-22B21BEED94E}"/>
  <bookViews>
    <workbookView xWindow="-110" yWindow="-110" windowWidth="24220" windowHeight="15500" xr2:uid="{43A41644-DE1A-4CA3-A422-B971DD18308E}"/>
  </bookViews>
  <sheets>
    <sheet name="Simple Model" sheetId="1" r:id="rId1"/>
    <sheet name="Backup Internal Growth" sheetId="2" r:id="rId2"/>
    <sheet name="Backup External Growt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  <c r="C31" i="1"/>
  <c r="C44" i="1"/>
  <c r="V53" i="1"/>
  <c r="S48" i="1"/>
  <c r="S56" i="1" s="1"/>
  <c r="S29" i="1"/>
  <c r="S37" i="1" s="1"/>
  <c r="X34" i="1"/>
  <c r="C23" i="1" l="1"/>
  <c r="C41" i="1"/>
  <c r="C40" i="1"/>
  <c r="H35" i="2"/>
  <c r="H34" i="2"/>
  <c r="C42" i="1" l="1"/>
  <c r="C38" i="1"/>
  <c r="P8" i="1"/>
  <c r="C18" i="2"/>
  <c r="C7" i="3"/>
  <c r="C6" i="3"/>
  <c r="C4" i="3"/>
  <c r="F5" i="3" s="1"/>
  <c r="C4" i="2"/>
  <c r="C17" i="2"/>
  <c r="C26" i="1"/>
  <c r="G8" i="1" s="1"/>
  <c r="T30" i="1" l="1"/>
  <c r="T49" i="1"/>
  <c r="P17" i="1"/>
  <c r="C27" i="1"/>
  <c r="C48" i="1"/>
  <c r="H5" i="2"/>
  <c r="F5" i="2"/>
  <c r="G5" i="2" s="1"/>
  <c r="I5" i="2"/>
  <c r="C30" i="1" l="1"/>
  <c r="C29" i="1"/>
  <c r="G17" i="1" s="1"/>
  <c r="U30" i="1"/>
  <c r="V30" i="1" s="1"/>
  <c r="W30" i="1" s="1"/>
  <c r="X30" i="1" s="1"/>
  <c r="U49" i="1"/>
  <c r="U56" i="1" s="1"/>
  <c r="T56" i="1"/>
  <c r="T37" i="1"/>
  <c r="C15" i="2"/>
  <c r="C14" i="2"/>
  <c r="C13" i="2"/>
  <c r="C11" i="2"/>
  <c r="C10" i="2"/>
  <c r="C9" i="2"/>
  <c r="C8" i="2"/>
  <c r="C7" i="2"/>
  <c r="C6" i="2"/>
  <c r="C19" i="3"/>
  <c r="C18" i="3"/>
  <c r="C17" i="3"/>
  <c r="C15" i="3"/>
  <c r="C14" i="3"/>
  <c r="C13" i="3"/>
  <c r="C11" i="3"/>
  <c r="C10" i="3"/>
  <c r="C21" i="1"/>
  <c r="C13" i="1" l="1"/>
  <c r="S58" i="1"/>
  <c r="T58" i="1" s="1"/>
  <c r="U58" i="1" s="1"/>
  <c r="V58" i="1" s="1"/>
  <c r="I17" i="2"/>
  <c r="V49" i="1"/>
  <c r="V52" i="1"/>
  <c r="V50" i="1"/>
  <c r="V51" i="1"/>
  <c r="S39" i="1"/>
  <c r="T39" i="1" s="1"/>
  <c r="U39" i="1" s="1"/>
  <c r="V39" i="1" s="1"/>
  <c r="W39" i="1" s="1"/>
  <c r="X39" i="1" s="1"/>
  <c r="I40" i="2"/>
  <c r="I37" i="2"/>
  <c r="I32" i="2"/>
  <c r="I31" i="2"/>
  <c r="H11" i="2"/>
  <c r="H12" i="2"/>
  <c r="I27" i="2"/>
  <c r="I26" i="2"/>
  <c r="I20" i="2"/>
  <c r="I30" i="2"/>
  <c r="I29" i="2"/>
  <c r="I11" i="2"/>
  <c r="I7" i="2"/>
  <c r="I12" i="2"/>
  <c r="G10" i="2"/>
  <c r="I10" i="2"/>
  <c r="F10" i="2"/>
  <c r="G7" i="2"/>
  <c r="H7" i="2"/>
  <c r="C20" i="3"/>
  <c r="F10" i="3"/>
  <c r="C9" i="3"/>
  <c r="H9" i="3"/>
  <c r="C19" i="2"/>
  <c r="C20" i="2" s="1"/>
  <c r="R58" i="1" l="1"/>
  <c r="V56" i="1"/>
  <c r="R56" i="1" s="1"/>
  <c r="U37" i="1"/>
  <c r="I42" i="2"/>
  <c r="H20" i="3"/>
  <c r="C26" i="3"/>
  <c r="F12" i="3"/>
  <c r="F11" i="3"/>
  <c r="F7" i="3"/>
  <c r="H23" i="3"/>
  <c r="C28" i="3"/>
  <c r="H6" i="3"/>
  <c r="H10" i="3"/>
  <c r="C32" i="3"/>
  <c r="H16" i="3"/>
  <c r="H18" i="3"/>
  <c r="H12" i="3"/>
  <c r="H14" i="3"/>
  <c r="H11" i="3"/>
  <c r="H7" i="3"/>
  <c r="I8" i="2"/>
  <c r="H10" i="2"/>
  <c r="H8" i="2"/>
  <c r="F8" i="3"/>
  <c r="C29" i="3"/>
  <c r="G14" i="3" s="1"/>
  <c r="C30" i="3"/>
  <c r="C31" i="3"/>
  <c r="G9" i="3" s="1"/>
  <c r="F8" i="2"/>
  <c r="G8" i="2" s="1"/>
  <c r="G11" i="2" s="1"/>
  <c r="G6" i="3" l="1"/>
  <c r="G7" i="3" s="1"/>
  <c r="W52" i="1"/>
  <c r="W54" i="1"/>
  <c r="W50" i="1"/>
  <c r="W51" i="1"/>
  <c r="W53" i="1"/>
  <c r="W49" i="1"/>
  <c r="R39" i="1"/>
  <c r="V37" i="1"/>
  <c r="C17" i="1"/>
  <c r="G10" i="3"/>
  <c r="C6" i="1" l="1"/>
  <c r="W56" i="1"/>
  <c r="W37" i="1"/>
  <c r="C16" i="2"/>
  <c r="C16" i="3"/>
  <c r="C12" i="2"/>
  <c r="C12" i="3"/>
  <c r="G11" i="3"/>
  <c r="E21" i="1" l="1"/>
  <c r="X33" i="1"/>
  <c r="X31" i="1"/>
  <c r="X32" i="1"/>
  <c r="C5" i="2"/>
  <c r="C5" i="3"/>
  <c r="G12" i="3"/>
  <c r="X37" i="1" l="1"/>
  <c r="R37" i="1" s="1"/>
  <c r="Y31" i="1" s="1"/>
  <c r="C25" i="3"/>
  <c r="H14" i="2"/>
  <c r="H15" i="2"/>
  <c r="G16" i="3"/>
  <c r="G18" i="3" s="1"/>
  <c r="Y33" i="1" l="1"/>
  <c r="Y30" i="1"/>
  <c r="Y35" i="1"/>
  <c r="Y34" i="1"/>
  <c r="Y32" i="1"/>
  <c r="G20" i="3"/>
  <c r="F7" i="2"/>
  <c r="Y37" i="1" l="1"/>
  <c r="F11" i="2"/>
  <c r="F12" i="2" s="1"/>
  <c r="F14" i="2" s="1"/>
  <c r="F15" i="2" s="1"/>
  <c r="Z35" i="1" l="1"/>
  <c r="X52" i="1"/>
  <c r="X49" i="1"/>
  <c r="X53" i="1"/>
  <c r="X51" i="1"/>
  <c r="X54" i="1"/>
  <c r="X50" i="1"/>
  <c r="Z30" i="1"/>
  <c r="Z34" i="1"/>
  <c r="Z32" i="1"/>
  <c r="Z31" i="1"/>
  <c r="Z33" i="1"/>
  <c r="F34" i="2"/>
  <c r="G12" i="2"/>
  <c r="G17" i="2" s="1"/>
  <c r="X56" i="1" l="1"/>
  <c r="Z37" i="1"/>
  <c r="G26" i="2"/>
  <c r="G27" i="2" s="1"/>
  <c r="F35" i="2"/>
  <c r="G30" i="2"/>
  <c r="G29" i="2"/>
  <c r="G31" i="2" l="1"/>
  <c r="G32" i="2" s="1"/>
  <c r="G37" i="2" s="1"/>
</calcChain>
</file>

<file path=xl/sharedStrings.xml><?xml version="1.0" encoding="utf-8"?>
<sst xmlns="http://schemas.openxmlformats.org/spreadsheetml/2006/main" count="178" uniqueCount="126">
  <si>
    <t>External Growth</t>
  </si>
  <si>
    <t>Investment AFFO Multiple</t>
  </si>
  <si>
    <t>Investment AFFO Yield</t>
  </si>
  <si>
    <t>External Growth Outputs</t>
  </si>
  <si>
    <t>Internal Growth</t>
  </si>
  <si>
    <t>Growth and Implied Return Data Tables</t>
  </si>
  <si>
    <t>3.    Cost to Raise Equity</t>
  </si>
  <si>
    <r>
      <rPr>
        <b/>
        <sz val="11"/>
        <color theme="1"/>
        <rFont val="Aptos Narrow"/>
        <family val="2"/>
        <scheme val="minor"/>
      </rPr>
      <t>4.</t>
    </r>
    <r>
      <rPr>
        <sz val="11"/>
        <color theme="1"/>
        <rFont val="Aptos Narrow"/>
        <family val="2"/>
        <scheme val="minor"/>
      </rPr>
      <t xml:space="preserve">    Operating Margin</t>
    </r>
  </si>
  <si>
    <t>Investment</t>
  </si>
  <si>
    <t>Added Variable</t>
  </si>
  <si>
    <t>Year 1</t>
  </si>
  <si>
    <t>Year 2</t>
  </si>
  <si>
    <t>Operating Profit</t>
  </si>
  <si>
    <t>Interest Expense</t>
  </si>
  <si>
    <t>Dividend</t>
  </si>
  <si>
    <t>Reinvested Equity</t>
  </si>
  <si>
    <t>New Interest Expense</t>
  </si>
  <si>
    <t>Existing Equity</t>
  </si>
  <si>
    <t>New Equity Issued</t>
  </si>
  <si>
    <t>Cost of New Equity Issuance</t>
  </si>
  <si>
    <t>New Assets</t>
  </si>
  <si>
    <t>Formula</t>
  </si>
  <si>
    <t>Other Needed Calculations</t>
  </si>
  <si>
    <t>2.    New Share Dilution</t>
  </si>
  <si>
    <t>Traded Cash Flow Multiple</t>
  </si>
  <si>
    <r>
      <rPr>
        <b/>
        <sz val="11"/>
        <color theme="1"/>
        <rFont val="Aptos Narrow"/>
        <family val="2"/>
        <scheme val="minor"/>
      </rPr>
      <t xml:space="preserve">7. </t>
    </r>
    <r>
      <rPr>
        <sz val="11"/>
        <color theme="1"/>
        <rFont val="Aptos Narrow"/>
        <family val="2"/>
        <scheme val="minor"/>
      </rPr>
      <t xml:space="preserve">   Cost of Borrowings/Leases</t>
    </r>
  </si>
  <si>
    <r>
      <rPr>
        <b/>
        <sz val="11"/>
        <color theme="1"/>
        <rFont val="Aptos Narrow"/>
        <family val="2"/>
        <scheme val="minor"/>
      </rPr>
      <t>8.</t>
    </r>
    <r>
      <rPr>
        <sz val="11"/>
        <color theme="1"/>
        <rFont val="Aptos Narrow"/>
        <family val="2"/>
        <scheme val="minor"/>
      </rPr>
      <t xml:space="preserve">    Maintenance CapEx/Assets at Cost</t>
    </r>
  </si>
  <si>
    <t>10. Cash Flow Dividend Payout Ratio</t>
  </si>
  <si>
    <t>Taxes</t>
  </si>
  <si>
    <t>Recurring Cash Flow</t>
  </si>
  <si>
    <t>Maintenance CapEx</t>
  </si>
  <si>
    <t>9.    Annual Same Store Sales Growth</t>
  </si>
  <si>
    <t>Sales/Investment</t>
  </si>
  <si>
    <t>Same Store Revenue Growth</t>
  </si>
  <si>
    <t>5.    Tax Rate (on Cash Flow)</t>
  </si>
  <si>
    <t>The 11 Universal Business Model Inputs</t>
  </si>
  <si>
    <t>Cash Flow to New S/H</t>
  </si>
  <si>
    <t>Cash Flow Remaining to Split</t>
  </si>
  <si>
    <t>Revenues</t>
  </si>
  <si>
    <t>New Revenues</t>
  </si>
  <si>
    <t>Cash Flow to Existing S/H</t>
  </si>
  <si>
    <t>Sales/Investment with Fee</t>
  </si>
  <si>
    <t>Equation</t>
  </si>
  <si>
    <t>Internal Cash Flow Growth per Share</t>
  </si>
  <si>
    <t>External Cash Flow Growth per Share</t>
  </si>
  <si>
    <t>Current After-Tax Equity Return at Cost</t>
  </si>
  <si>
    <t>Implied Total Market Equity Return</t>
  </si>
  <si>
    <r>
      <rPr>
        <b/>
        <sz val="11"/>
        <color theme="1"/>
        <rFont val="Aptos Narrow"/>
        <family val="2"/>
        <scheme val="minor"/>
      </rPr>
      <t>h.</t>
    </r>
    <r>
      <rPr>
        <sz val="11"/>
        <color theme="1"/>
        <rFont val="Aptos Narrow"/>
        <family val="2"/>
        <scheme val="minor"/>
      </rPr>
      <t xml:space="preserve">    Maintenance CapEx/Assets at Cost</t>
    </r>
  </si>
  <si>
    <t>7a. Incemental Borrowing/Lease Cost</t>
  </si>
  <si>
    <t>1a. Incremental Sales/Investment Ratio</t>
  </si>
  <si>
    <t>j.     Cash Flow Dividend Payout Ratio</t>
  </si>
  <si>
    <r>
      <rPr>
        <b/>
        <sz val="11"/>
        <color theme="1"/>
        <rFont val="Aptos Narrow"/>
        <family val="2"/>
        <scheme val="minor"/>
      </rPr>
      <t>f.</t>
    </r>
    <r>
      <rPr>
        <sz val="11"/>
        <color theme="1"/>
        <rFont val="Aptos Narrow"/>
        <family val="2"/>
        <scheme val="minor"/>
      </rPr>
      <t xml:space="preserve">      % Company Funded with OPM</t>
    </r>
  </si>
  <si>
    <r>
      <rPr>
        <b/>
        <sz val="11"/>
        <color theme="1"/>
        <rFont val="Aptos Narrow"/>
        <family val="2"/>
        <scheme val="minor"/>
      </rPr>
      <t>e.</t>
    </r>
    <r>
      <rPr>
        <sz val="11"/>
        <color theme="1"/>
        <rFont val="Aptos Narrow"/>
        <family val="2"/>
        <scheme val="minor"/>
      </rPr>
      <t xml:space="preserve">     Tax Rate (on Cash Flow)</t>
    </r>
  </si>
  <si>
    <r>
      <rPr>
        <b/>
        <sz val="11"/>
        <color theme="1"/>
        <rFont val="Aptos Narrow"/>
        <family val="2"/>
        <scheme val="minor"/>
      </rPr>
      <t>d.</t>
    </r>
    <r>
      <rPr>
        <sz val="11"/>
        <color theme="1"/>
        <rFont val="Aptos Narrow"/>
        <family val="2"/>
        <scheme val="minor"/>
      </rPr>
      <t xml:space="preserve">     Operating Margin</t>
    </r>
  </si>
  <si>
    <t>c.     Cost to Raise Equity</t>
  </si>
  <si>
    <r>
      <rPr>
        <b/>
        <sz val="11"/>
        <color theme="1"/>
        <rFont val="Aptos Narrow"/>
        <family val="2"/>
        <scheme val="minor"/>
      </rPr>
      <t>6.</t>
    </r>
    <r>
      <rPr>
        <sz val="11"/>
        <color theme="1"/>
        <rFont val="Aptos Narrow"/>
        <family val="2"/>
        <scheme val="minor"/>
      </rPr>
      <t xml:space="preserve">    % Company Funded with OPM</t>
    </r>
  </si>
  <si>
    <t>The Universal Market Business Model Inputs</t>
  </si>
  <si>
    <t>Universal Market Business Model Internal Growth Detail</t>
  </si>
  <si>
    <t>Universal Market Business Model External Growth Detail</t>
  </si>
  <si>
    <t>f1.    Adjusted for Market Value</t>
  </si>
  <si>
    <t>h1.  Adjusted for Market Value</t>
  </si>
  <si>
    <t>a.    Sales/Investment Ratio at Cost</t>
  </si>
  <si>
    <t>a.   Sales/Investment Ratio at Cost</t>
  </si>
  <si>
    <t>a2. Incremental Sales/Investment Ratio</t>
  </si>
  <si>
    <t>b.    New Share Dilution</t>
  </si>
  <si>
    <t>c.    Cost to Raise Equity</t>
  </si>
  <si>
    <r>
      <rPr>
        <b/>
        <sz val="11"/>
        <color theme="1"/>
        <rFont val="Aptos Narrow"/>
        <family val="2"/>
        <scheme val="minor"/>
      </rPr>
      <t>d.</t>
    </r>
    <r>
      <rPr>
        <sz val="11"/>
        <color theme="1"/>
        <rFont val="Aptos Narrow"/>
        <family val="2"/>
        <scheme val="minor"/>
      </rPr>
      <t xml:space="preserve">    Operating Margin</t>
    </r>
  </si>
  <si>
    <t>e.    Tax Rate (on Cash Flow)</t>
  </si>
  <si>
    <r>
      <rPr>
        <b/>
        <sz val="11"/>
        <color theme="1"/>
        <rFont val="Aptos Narrow"/>
        <family val="2"/>
        <scheme val="minor"/>
      </rPr>
      <t>f.</t>
    </r>
    <r>
      <rPr>
        <sz val="11"/>
        <color theme="1"/>
        <rFont val="Aptos Narrow"/>
        <family val="2"/>
        <scheme val="minor"/>
      </rPr>
      <t xml:space="preserve">    % Company Funded with OPM</t>
    </r>
  </si>
  <si>
    <r>
      <rPr>
        <b/>
        <sz val="11"/>
        <color theme="1"/>
        <rFont val="Aptos Narrow"/>
        <family val="2"/>
        <scheme val="minor"/>
      </rPr>
      <t xml:space="preserve">g. </t>
    </r>
    <r>
      <rPr>
        <sz val="11"/>
        <color theme="1"/>
        <rFont val="Aptos Narrow"/>
        <family val="2"/>
        <scheme val="minor"/>
      </rPr>
      <t xml:space="preserve">   Cost of Borrowings/Leases</t>
    </r>
  </si>
  <si>
    <t>i.     Annual Same Store Sales Growth</t>
  </si>
  <si>
    <t>g1.  Incemental Borrowing/Lease Cost</t>
  </si>
  <si>
    <t>f1.   Adjusted for Market Value</t>
  </si>
  <si>
    <r>
      <rPr>
        <b/>
        <sz val="11"/>
        <color theme="1"/>
        <rFont val="Aptos Narrow"/>
        <family val="2"/>
        <scheme val="minor"/>
      </rPr>
      <t xml:space="preserve">a. </t>
    </r>
    <r>
      <rPr>
        <sz val="11"/>
        <color theme="1"/>
        <rFont val="Aptos Narrow"/>
        <family val="2"/>
        <scheme val="minor"/>
      </rPr>
      <t xml:space="preserve">   Sales/Investment Ratio at Cost</t>
    </r>
  </si>
  <si>
    <r>
      <rPr>
        <b/>
        <sz val="11"/>
        <color theme="1"/>
        <rFont val="Aptos Narrow"/>
        <family val="2"/>
        <scheme val="minor"/>
      </rPr>
      <t>a2.</t>
    </r>
    <r>
      <rPr>
        <sz val="11"/>
        <color theme="1"/>
        <rFont val="Aptos Narrow"/>
        <family val="2"/>
        <scheme val="minor"/>
      </rPr>
      <t xml:space="preserve">  Incremental Sales/Investment Ratio</t>
    </r>
  </si>
  <si>
    <r>
      <rPr>
        <b/>
        <sz val="11"/>
        <color theme="1"/>
        <rFont val="Aptos Narrow"/>
        <family val="2"/>
        <scheme val="minor"/>
      </rPr>
      <t xml:space="preserve">g. </t>
    </r>
    <r>
      <rPr>
        <sz val="11"/>
        <color theme="1"/>
        <rFont val="Aptos Narrow"/>
        <family val="2"/>
        <scheme val="minor"/>
      </rPr>
      <t xml:space="preserve">     Cost of Borrowings/Leases</t>
    </r>
  </si>
  <si>
    <r>
      <rPr>
        <b/>
        <sz val="11"/>
        <color theme="1"/>
        <rFont val="Aptos Narrow"/>
        <family val="2"/>
        <scheme val="minor"/>
      </rPr>
      <t>g1.</t>
    </r>
    <r>
      <rPr>
        <sz val="11"/>
        <color theme="1"/>
        <rFont val="Aptos Narrow"/>
        <family val="2"/>
        <scheme val="minor"/>
      </rPr>
      <t xml:space="preserve">    Incremental Borrowing/Lease Cost</t>
    </r>
  </si>
  <si>
    <r>
      <rPr>
        <b/>
        <sz val="11"/>
        <color theme="1"/>
        <rFont val="Aptos Narrow"/>
        <family val="2"/>
        <scheme val="minor"/>
      </rPr>
      <t>h.</t>
    </r>
    <r>
      <rPr>
        <sz val="11"/>
        <color theme="1"/>
        <rFont val="Aptos Narrow"/>
        <family val="2"/>
        <scheme val="minor"/>
      </rPr>
      <t xml:space="preserve">      Maintenance CapEx/Assets at Cost</t>
    </r>
  </si>
  <si>
    <t>i.       Annual Same Store Sales Growth</t>
  </si>
  <si>
    <t>j.      Cash Flow Dividend Payout Ratio</t>
  </si>
  <si>
    <t>Check</t>
  </si>
  <si>
    <r>
      <rPr>
        <b/>
        <i/>
        <sz val="11"/>
        <color theme="9"/>
        <rFont val="Aptos Narrow"/>
        <family val="2"/>
        <scheme val="minor"/>
      </rPr>
      <t>f1.</t>
    </r>
    <r>
      <rPr>
        <i/>
        <sz val="11"/>
        <color theme="9"/>
        <rFont val="Aptos Narrow"/>
        <family val="2"/>
        <scheme val="minor"/>
      </rPr>
      <t xml:space="preserve">    Adjusted for Market Value</t>
    </r>
  </si>
  <si>
    <r>
      <rPr>
        <b/>
        <i/>
        <sz val="11"/>
        <color theme="9"/>
        <rFont val="Aptos Narrow"/>
        <family val="2"/>
        <scheme val="minor"/>
      </rPr>
      <t xml:space="preserve">h1. </t>
    </r>
    <r>
      <rPr>
        <i/>
        <sz val="11"/>
        <color theme="9"/>
        <rFont val="Aptos Narrow"/>
        <family val="2"/>
        <scheme val="minor"/>
      </rPr>
      <t xml:space="preserve"> Adjusted for Market Value</t>
    </r>
  </si>
  <si>
    <r>
      <rPr>
        <b/>
        <i/>
        <sz val="11"/>
        <color theme="9"/>
        <rFont val="Aptos Narrow"/>
        <family val="2"/>
        <scheme val="minor"/>
      </rPr>
      <t xml:space="preserve">a1. </t>
    </r>
    <r>
      <rPr>
        <i/>
        <sz val="11"/>
        <color theme="9"/>
        <rFont val="Aptos Narrow"/>
        <family val="2"/>
        <scheme val="minor"/>
      </rPr>
      <t xml:space="preserve"> Market Sales/Investment Ratio</t>
    </r>
  </si>
  <si>
    <t>a1. Market Sales/Investment Ratio</t>
  </si>
  <si>
    <t>k.    Market Cash Flow Multiple</t>
  </si>
  <si>
    <t xml:space="preserve">         Market Cash Flow Yield</t>
  </si>
  <si>
    <t>11. Market Cash Flow Multiple</t>
  </si>
  <si>
    <r>
      <rPr>
        <b/>
        <i/>
        <sz val="11"/>
        <color theme="1"/>
        <rFont val="Aptos Narrow"/>
        <family val="2"/>
        <scheme val="minor"/>
      </rPr>
      <t xml:space="preserve">1. </t>
    </r>
    <r>
      <rPr>
        <i/>
        <sz val="11"/>
        <color theme="1"/>
        <rFont val="Aptos Narrow"/>
        <family val="2"/>
        <scheme val="minor"/>
      </rPr>
      <t xml:space="preserve">   Market Sales/Investment Ratio</t>
    </r>
  </si>
  <si>
    <t>Current Equity Return and Multiple at Cost</t>
  </si>
  <si>
    <t xml:space="preserve">         Equalling A Cash Flow Multiple at Cost</t>
  </si>
  <si>
    <t xml:space="preserve">         Equalling A Current After-Tax Market Equity Return</t>
  </si>
  <si>
    <t>Formula Equations:</t>
  </si>
  <si>
    <t>Same Store Sales</t>
  </si>
  <si>
    <t>Reinvested Cash Flow</t>
  </si>
  <si>
    <t xml:space="preserve">       Total Internal Growth</t>
  </si>
  <si>
    <t xml:space="preserve">   Cash Flow Growth from Same Store Revenues</t>
  </si>
  <si>
    <t xml:space="preserve">   Cash Flow Growth from Reinvested Cash</t>
  </si>
  <si>
    <t>k.     Beginning Market Cash Flow Multiple</t>
  </si>
  <si>
    <t>1.  Dividend Yield</t>
  </si>
  <si>
    <r>
      <t xml:space="preserve">2.  Internal Growth      </t>
    </r>
    <r>
      <rPr>
        <i/>
        <sz val="9"/>
        <color theme="1"/>
        <rFont val="Aptos Narrow"/>
        <family val="2"/>
        <scheme val="minor"/>
      </rPr>
      <t>(Achived Through Internal Resources)</t>
    </r>
  </si>
  <si>
    <r>
      <t>3.  External Growth</t>
    </r>
    <r>
      <rPr>
        <i/>
        <sz val="9"/>
        <color theme="1"/>
        <rFont val="Aptos Narrow"/>
        <family val="2"/>
        <scheme val="minor"/>
      </rPr>
      <t xml:space="preserve">  (Achieved Through New Share Issuance)</t>
    </r>
  </si>
  <si>
    <t>4.  Share Price Cash Flow Multiple Arbitrage</t>
  </si>
  <si>
    <t>Avg. Hold</t>
  </si>
  <si>
    <t>IRR</t>
  </si>
  <si>
    <t>Return Arbitrage</t>
  </si>
  <si>
    <t>Reinvested Cash Flow Growth</t>
  </si>
  <si>
    <t xml:space="preserve">External Growth </t>
  </si>
  <si>
    <t>%</t>
  </si>
  <si>
    <t>Same Store Growth</t>
  </si>
  <si>
    <t>The Four Components of Investor Return</t>
  </si>
  <si>
    <t>Recovered Investment</t>
  </si>
  <si>
    <t>PV</t>
  </si>
  <si>
    <t>Test</t>
  </si>
  <si>
    <t>Universal Business Model</t>
  </si>
  <si>
    <t>5 Year IRR Table</t>
  </si>
  <si>
    <t>3 Year IRR Table</t>
  </si>
  <si>
    <t>3 YR IRR</t>
  </si>
  <si>
    <t>5 YR IRR</t>
  </si>
  <si>
    <t>k1. Ending Market Cash Flow Multiple</t>
  </si>
  <si>
    <t>b.     New Share Issuance Dilution</t>
  </si>
  <si>
    <t xml:space="preserve"> Beginning Equity Value Multiplier to Cost</t>
  </si>
  <si>
    <t xml:space="preserve"> Ending Equity Value Multiplier to Cost</t>
  </si>
  <si>
    <t>Beginning-Ending Equity Value Market Multiplier</t>
  </si>
  <si>
    <t>Equity Value Multipier to Cost</t>
  </si>
  <si>
    <t>Current Equity Return at Cost (AFFO Yield)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</si>
</sst>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0.0%"/>
    <numFmt numFmtId="165" formatCode=";;;"/>
    <numFmt numFmtId="166" formatCode="#,##0.0\X"/>
    <numFmt numFmtId="167" formatCode="#,##0.00\X"/>
    <numFmt numFmtId="168" formatCode="0.0000000000000000%"/>
    <numFmt numFmtId="169" formatCode="0.00%;\-0.00%;;@"/>
    <numFmt numFmtId="170" formatCode="_(* #,##0_);_(* \(#,##0\);_(* &quot;-&quot;??_);_(@_)"/>
    <numFmt numFmtId="171" formatCode="0.000000%"/>
    <numFmt numFmtId="172" formatCode="_(* #,##0.000_);_(* \(#,##0.000\);_(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9"/>
      <name val="Aptos Narrow"/>
      <family val="2"/>
      <scheme val="minor"/>
    </font>
    <font>
      <b/>
      <i/>
      <sz val="11"/>
      <color theme="9"/>
      <name val="Aptos Narrow"/>
      <family val="2"/>
      <scheme val="minor"/>
    </font>
    <font>
      <sz val="11"/>
      <color theme="9"/>
      <name val="Aptos Narrow"/>
      <family val="2"/>
      <scheme val="minor"/>
    </font>
    <font>
      <i/>
      <sz val="10"/>
      <color rgb="FF92D050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0" fillId="0" borderId="1" xfId="0" applyBorder="1"/>
    <xf numFmtId="0" fontId="0" fillId="0" borderId="3" xfId="0" applyBorder="1"/>
    <xf numFmtId="164" fontId="0" fillId="0" borderId="0" xfId="2" applyNumberFormat="1" applyFont="1" applyBorder="1"/>
    <xf numFmtId="10" fontId="0" fillId="0" borderId="2" xfId="2" applyNumberFormat="1" applyFont="1" applyBorder="1"/>
    <xf numFmtId="10" fontId="0" fillId="0" borderId="4" xfId="2" applyNumberFormat="1" applyFont="1" applyBorder="1"/>
    <xf numFmtId="165" fontId="0" fillId="0" borderId="0" xfId="0" applyNumberFormat="1"/>
    <xf numFmtId="43" fontId="0" fillId="0" borderId="0" xfId="0" applyNumberFormat="1"/>
    <xf numFmtId="10" fontId="0" fillId="0" borderId="0" xfId="0" applyNumberFormat="1"/>
    <xf numFmtId="0" fontId="0" fillId="2" borderId="0" xfId="0" applyFill="1"/>
    <xf numFmtId="0" fontId="0" fillId="2" borderId="5" xfId="0" applyFill="1" applyBorder="1"/>
    <xf numFmtId="10" fontId="0" fillId="2" borderId="6" xfId="2" applyNumberFormat="1" applyFont="1" applyFill="1" applyBorder="1"/>
    <xf numFmtId="10" fontId="2" fillId="0" borderId="0" xfId="2" applyNumberFormat="1" applyFont="1"/>
    <xf numFmtId="164" fontId="2" fillId="0" borderId="0" xfId="2" applyNumberFormat="1" applyFont="1"/>
    <xf numFmtId="0" fontId="4" fillId="0" borderId="0" xfId="0" applyFont="1"/>
    <xf numFmtId="164" fontId="0" fillId="0" borderId="1" xfId="2" applyNumberFormat="1" applyFont="1" applyBorder="1" applyAlignment="1">
      <alignment horizontal="center"/>
    </xf>
    <xf numFmtId="164" fontId="0" fillId="0" borderId="7" xfId="2" applyNumberFormat="1" applyFont="1" applyBorder="1" applyAlignment="1">
      <alignment horizontal="center"/>
    </xf>
    <xf numFmtId="164" fontId="0" fillId="0" borderId="2" xfId="2" applyNumberFormat="1" applyFont="1" applyBorder="1" applyAlignment="1">
      <alignment horizontal="center"/>
    </xf>
    <xf numFmtId="164" fontId="0" fillId="0" borderId="3" xfId="2" applyNumberFormat="1" applyFont="1" applyBorder="1" applyAlignment="1">
      <alignment horizontal="center"/>
    </xf>
    <xf numFmtId="164" fontId="0" fillId="0" borderId="0" xfId="2" applyNumberFormat="1" applyFont="1" applyBorder="1" applyAlignment="1">
      <alignment horizontal="center"/>
    </xf>
    <xf numFmtId="164" fontId="0" fillId="0" borderId="4" xfId="2" applyNumberFormat="1" applyFont="1" applyBorder="1" applyAlignment="1">
      <alignment horizontal="center"/>
    </xf>
    <xf numFmtId="164" fontId="0" fillId="0" borderId="5" xfId="2" applyNumberFormat="1" applyFont="1" applyBorder="1" applyAlignment="1">
      <alignment horizontal="center"/>
    </xf>
    <xf numFmtId="164" fontId="0" fillId="0" borderId="8" xfId="2" applyNumberFormat="1" applyFont="1" applyBorder="1" applyAlignment="1">
      <alignment horizontal="center"/>
    </xf>
    <xf numFmtId="164" fontId="0" fillId="0" borderId="6" xfId="2" applyNumberFormat="1" applyFont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5" fillId="0" borderId="0" xfId="0" applyFont="1"/>
    <xf numFmtId="164" fontId="2" fillId="0" borderId="0" xfId="2" applyNumberFormat="1" applyFont="1" applyAlignment="1">
      <alignment horizontal="center"/>
    </xf>
    <xf numFmtId="0" fontId="6" fillId="0" borderId="5" xfId="0" applyFont="1" applyBorder="1"/>
    <xf numFmtId="10" fontId="6" fillId="0" borderId="6" xfId="2" applyNumberFormat="1" applyFont="1" applyBorder="1"/>
    <xf numFmtId="10" fontId="0" fillId="0" borderId="0" xfId="2" applyNumberFormat="1" applyFont="1"/>
    <xf numFmtId="0" fontId="0" fillId="0" borderId="8" xfId="0" applyBorder="1" applyAlignment="1">
      <alignment horizontal="center"/>
    </xf>
    <xf numFmtId="7" fontId="0" fillId="0" borderId="0" xfId="0" applyNumberFormat="1"/>
    <xf numFmtId="7" fontId="0" fillId="0" borderId="9" xfId="0" applyNumberFormat="1" applyBorder="1"/>
    <xf numFmtId="0" fontId="0" fillId="0" borderId="9" xfId="0" applyBorder="1"/>
    <xf numFmtId="5" fontId="0" fillId="0" borderId="0" xfId="0" applyNumberFormat="1"/>
    <xf numFmtId="0" fontId="0" fillId="0" borderId="8" xfId="0" applyBorder="1"/>
    <xf numFmtId="167" fontId="0" fillId="0" borderId="0" xfId="2" applyNumberFormat="1" applyFont="1" applyBorder="1"/>
    <xf numFmtId="0" fontId="0" fillId="0" borderId="10" xfId="0" applyBorder="1" applyAlignment="1">
      <alignment horizontal="center"/>
    </xf>
    <xf numFmtId="0" fontId="0" fillId="0" borderId="11" xfId="0" applyBorder="1"/>
    <xf numFmtId="7" fontId="0" fillId="0" borderId="11" xfId="0" applyNumberFormat="1" applyBorder="1"/>
    <xf numFmtId="7" fontId="0" fillId="0" borderId="12" xfId="0" applyNumberFormat="1" applyBorder="1"/>
    <xf numFmtId="10" fontId="0" fillId="2" borderId="13" xfId="2" applyNumberFormat="1" applyFont="1" applyFill="1" applyBorder="1"/>
    <xf numFmtId="168" fontId="0" fillId="0" borderId="0" xfId="0" applyNumberFormat="1"/>
    <xf numFmtId="164" fontId="0" fillId="0" borderId="0" xfId="2" applyNumberFormat="1" applyFont="1"/>
    <xf numFmtId="169" fontId="0" fillId="0" borderId="1" xfId="2" applyNumberFormat="1" applyFont="1" applyBorder="1" applyAlignment="1">
      <alignment horizontal="center"/>
    </xf>
    <xf numFmtId="169" fontId="0" fillId="0" borderId="7" xfId="2" applyNumberFormat="1" applyFont="1" applyBorder="1" applyAlignment="1">
      <alignment horizontal="center"/>
    </xf>
    <xf numFmtId="169" fontId="0" fillId="0" borderId="2" xfId="2" applyNumberFormat="1" applyFont="1" applyBorder="1" applyAlignment="1">
      <alignment horizontal="center"/>
    </xf>
    <xf numFmtId="169" fontId="0" fillId="0" borderId="3" xfId="2" applyNumberFormat="1" applyFont="1" applyBorder="1" applyAlignment="1">
      <alignment horizontal="center"/>
    </xf>
    <xf numFmtId="169" fontId="0" fillId="0" borderId="0" xfId="2" applyNumberFormat="1" applyFont="1" applyBorder="1" applyAlignment="1">
      <alignment horizontal="center"/>
    </xf>
    <xf numFmtId="169" fontId="0" fillId="0" borderId="4" xfId="2" applyNumberFormat="1" applyFont="1" applyBorder="1" applyAlignment="1">
      <alignment horizontal="center"/>
    </xf>
    <xf numFmtId="169" fontId="0" fillId="0" borderId="5" xfId="2" applyNumberFormat="1" applyFont="1" applyBorder="1" applyAlignment="1">
      <alignment horizontal="center"/>
    </xf>
    <xf numFmtId="169" fontId="0" fillId="0" borderId="8" xfId="2" applyNumberFormat="1" applyFont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43" fontId="0" fillId="0" borderId="9" xfId="0" applyNumberFormat="1" applyBorder="1"/>
    <xf numFmtId="10" fontId="2" fillId="0" borderId="0" xfId="2" applyNumberFormat="1" applyFont="1" applyAlignment="1">
      <alignment horizontal="center"/>
    </xf>
    <xf numFmtId="43" fontId="0" fillId="0" borderId="0" xfId="1" applyFont="1"/>
    <xf numFmtId="10" fontId="0" fillId="2" borderId="0" xfId="2" applyNumberFormat="1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7" fontId="0" fillId="0" borderId="3" xfId="0" applyNumberFormat="1" applyBorder="1"/>
    <xf numFmtId="7" fontId="0" fillId="0" borderId="4" xfId="0" applyNumberFormat="1" applyBorder="1"/>
    <xf numFmtId="43" fontId="0" fillId="0" borderId="3" xfId="0" applyNumberFormat="1" applyBorder="1"/>
    <xf numFmtId="43" fontId="0" fillId="0" borderId="4" xfId="0" applyNumberFormat="1" applyBorder="1"/>
    <xf numFmtId="7" fontId="0" fillId="0" borderId="14" xfId="0" applyNumberFormat="1" applyBorder="1"/>
    <xf numFmtId="7" fontId="0" fillId="0" borderId="15" xfId="0" applyNumberFormat="1" applyBorder="1"/>
    <xf numFmtId="0" fontId="0" fillId="0" borderId="4" xfId="0" applyBorder="1"/>
    <xf numFmtId="43" fontId="0" fillId="0" borderId="11" xfId="1" applyFont="1" applyBorder="1"/>
    <xf numFmtId="167" fontId="0" fillId="0" borderId="1" xfId="1" applyNumberFormat="1" applyFont="1" applyBorder="1" applyAlignment="1">
      <alignment horizontal="center"/>
    </xf>
    <xf numFmtId="167" fontId="0" fillId="0" borderId="7" xfId="1" applyNumberFormat="1" applyFont="1" applyBorder="1" applyAlignment="1">
      <alignment horizontal="center"/>
    </xf>
    <xf numFmtId="167" fontId="0" fillId="0" borderId="2" xfId="1" applyNumberFormat="1" applyFont="1" applyBorder="1" applyAlignment="1">
      <alignment horizontal="center"/>
    </xf>
    <xf numFmtId="167" fontId="0" fillId="0" borderId="3" xfId="1" applyNumberFormat="1" applyFont="1" applyBorder="1" applyAlignment="1">
      <alignment horizontal="center"/>
    </xf>
    <xf numFmtId="167" fontId="0" fillId="0" borderId="0" xfId="1" applyNumberFormat="1" applyFont="1" applyBorder="1" applyAlignment="1">
      <alignment horizontal="center"/>
    </xf>
    <xf numFmtId="167" fontId="0" fillId="0" borderId="4" xfId="1" applyNumberFormat="1" applyFont="1" applyBorder="1" applyAlignment="1">
      <alignment horizontal="center"/>
    </xf>
    <xf numFmtId="167" fontId="0" fillId="0" borderId="5" xfId="1" applyNumberFormat="1" applyFont="1" applyBorder="1" applyAlignment="1">
      <alignment horizontal="center"/>
    </xf>
    <xf numFmtId="167" fontId="0" fillId="0" borderId="8" xfId="1" applyNumberFormat="1" applyFont="1" applyBorder="1" applyAlignment="1">
      <alignment horizontal="center"/>
    </xf>
    <xf numFmtId="167" fontId="0" fillId="0" borderId="6" xfId="1" applyNumberFormat="1" applyFont="1" applyBorder="1" applyAlignment="1">
      <alignment horizontal="center"/>
    </xf>
    <xf numFmtId="10" fontId="0" fillId="0" borderId="0" xfId="2" applyNumberFormat="1" applyFont="1" applyBorder="1"/>
    <xf numFmtId="10" fontId="0" fillId="0" borderId="0" xfId="2" applyNumberFormat="1" applyFont="1" applyFill="1" applyBorder="1"/>
    <xf numFmtId="10" fontId="6" fillId="0" borderId="0" xfId="2" applyNumberFormat="1" applyFont="1" applyBorder="1"/>
    <xf numFmtId="0" fontId="0" fillId="3" borderId="0" xfId="0" applyFill="1"/>
    <xf numFmtId="10" fontId="0" fillId="3" borderId="0" xfId="2" applyNumberFormat="1" applyFont="1" applyFill="1" applyBorder="1"/>
    <xf numFmtId="10" fontId="0" fillId="3" borderId="0" xfId="2" applyNumberFormat="1" applyFont="1" applyFill="1"/>
    <xf numFmtId="0" fontId="0" fillId="3" borderId="9" xfId="0" applyFill="1" applyBorder="1"/>
    <xf numFmtId="10" fontId="0" fillId="3" borderId="9" xfId="2" applyNumberFormat="1" applyFont="1" applyFill="1" applyBorder="1"/>
    <xf numFmtId="0" fontId="6" fillId="0" borderId="0" xfId="0" applyFont="1"/>
    <xf numFmtId="0" fontId="0" fillId="0" borderId="0" xfId="0" quotePrefix="1"/>
    <xf numFmtId="0" fontId="7" fillId="0" borderId="0" xfId="0" applyFont="1"/>
    <xf numFmtId="0" fontId="3" fillId="0" borderId="0" xfId="0" applyFont="1"/>
    <xf numFmtId="0" fontId="7" fillId="0" borderId="0" xfId="0" quotePrefix="1" applyFont="1"/>
    <xf numFmtId="10" fontId="5" fillId="0" borderId="0" xfId="2" applyNumberFormat="1" applyFont="1"/>
    <xf numFmtId="10" fontId="0" fillId="0" borderId="2" xfId="0" applyNumberFormat="1" applyBorder="1"/>
    <xf numFmtId="10" fontId="0" fillId="0" borderId="4" xfId="0" applyNumberFormat="1" applyBorder="1"/>
    <xf numFmtId="170" fontId="0" fillId="0" borderId="0" xfId="1" applyNumberFormat="1" applyFont="1"/>
    <xf numFmtId="170" fontId="0" fillId="0" borderId="0" xfId="2" applyNumberFormat="1" applyFont="1"/>
    <xf numFmtId="0" fontId="2" fillId="0" borderId="3" xfId="0" applyFont="1" applyBorder="1"/>
    <xf numFmtId="10" fontId="0" fillId="0" borderId="2" xfId="2" applyNumberFormat="1" applyFont="1" applyFill="1" applyBorder="1"/>
    <xf numFmtId="10" fontId="0" fillId="0" borderId="4" xfId="2" applyNumberFormat="1" applyFont="1" applyFill="1" applyBorder="1"/>
    <xf numFmtId="167" fontId="0" fillId="0" borderId="4" xfId="2" applyNumberFormat="1" applyFont="1" applyFill="1" applyBorder="1"/>
    <xf numFmtId="10" fontId="6" fillId="0" borderId="6" xfId="2" applyNumberFormat="1" applyFont="1" applyFill="1" applyBorder="1"/>
    <xf numFmtId="167" fontId="0" fillId="0" borderId="4" xfId="0" applyNumberFormat="1" applyBorder="1"/>
    <xf numFmtId="0" fontId="9" fillId="0" borderId="0" xfId="0" applyFont="1" applyAlignment="1">
      <alignment horizontal="center"/>
    </xf>
    <xf numFmtId="10" fontId="9" fillId="0" borderId="0" xfId="2" applyNumberFormat="1" applyFont="1" applyAlignment="1">
      <alignment horizontal="center"/>
    </xf>
    <xf numFmtId="0" fontId="10" fillId="0" borderId="0" xfId="0" applyFont="1"/>
    <xf numFmtId="10" fontId="11" fillId="0" borderId="4" xfId="0" applyNumberFormat="1" applyFont="1" applyBorder="1"/>
    <xf numFmtId="0" fontId="11" fillId="0" borderId="3" xfId="0" applyFont="1" applyBorder="1"/>
    <xf numFmtId="10" fontId="13" fillId="0" borderId="4" xfId="0" applyNumberFormat="1" applyFont="1" applyBorder="1"/>
    <xf numFmtId="0" fontId="2" fillId="0" borderId="0" xfId="0" applyFont="1"/>
    <xf numFmtId="10" fontId="14" fillId="0" borderId="6" xfId="2" applyNumberFormat="1" applyFont="1" applyFill="1" applyBorder="1"/>
    <xf numFmtId="167" fontId="6" fillId="0" borderId="0" xfId="0" applyNumberFormat="1" applyFont="1"/>
    <xf numFmtId="0" fontId="14" fillId="0" borderId="5" xfId="0" applyFont="1" applyBorder="1"/>
    <xf numFmtId="167" fontId="6" fillId="0" borderId="6" xfId="0" applyNumberFormat="1" applyFont="1" applyBorder="1"/>
    <xf numFmtId="0" fontId="15" fillId="0" borderId="0" xfId="0" applyFont="1"/>
    <xf numFmtId="171" fontId="0" fillId="0" borderId="0" xfId="0" applyNumberFormat="1"/>
    <xf numFmtId="0" fontId="5" fillId="0" borderId="16" xfId="0" applyFont="1" applyBorder="1"/>
    <xf numFmtId="0" fontId="0" fillId="0" borderId="16" xfId="0" applyBorder="1"/>
    <xf numFmtId="10" fontId="5" fillId="0" borderId="16" xfId="0" applyNumberFormat="1" applyFont="1" applyBorder="1"/>
    <xf numFmtId="0" fontId="14" fillId="0" borderId="3" xfId="0" applyFont="1" applyBorder="1"/>
    <xf numFmtId="10" fontId="14" fillId="0" borderId="4" xfId="2" applyNumberFormat="1" applyFont="1" applyFill="1" applyBorder="1"/>
    <xf numFmtId="43" fontId="0" fillId="0" borderId="0" xfId="1" applyFont="1" applyAlignment="1">
      <alignment horizontal="center"/>
    </xf>
    <xf numFmtId="164" fontId="0" fillId="0" borderId="0" xfId="0" applyNumberFormat="1" applyAlignment="1">
      <alignment horizontal="center"/>
    </xf>
    <xf numFmtId="172" fontId="0" fillId="0" borderId="0" xfId="1" applyNumberFormat="1" applyFont="1"/>
    <xf numFmtId="172" fontId="0" fillId="0" borderId="0" xfId="1" applyNumberFormat="1" applyFont="1" applyAlignment="1">
      <alignment horizontal="center"/>
    </xf>
    <xf numFmtId="10" fontId="0" fillId="2" borderId="0" xfId="0" applyNumberFormat="1" applyFill="1" applyAlignment="1">
      <alignment horizontal="center"/>
    </xf>
    <xf numFmtId="43" fontId="0" fillId="4" borderId="0" xfId="1" applyFont="1" applyFill="1" applyAlignment="1">
      <alignment horizontal="right"/>
    </xf>
    <xf numFmtId="43" fontId="0" fillId="4" borderId="0" xfId="1" applyFont="1" applyFill="1" applyAlignment="1">
      <alignment horizontal="center"/>
    </xf>
    <xf numFmtId="0" fontId="9" fillId="0" borderId="0" xfId="0" applyFont="1"/>
    <xf numFmtId="10" fontId="9" fillId="2" borderId="0" xfId="0" applyNumberFormat="1" applyFont="1" applyFill="1" applyAlignment="1">
      <alignment horizontal="center"/>
    </xf>
    <xf numFmtId="43" fontId="9" fillId="0" borderId="0" xfId="1" applyFont="1"/>
    <xf numFmtId="172" fontId="9" fillId="0" borderId="0" xfId="1" applyNumberFormat="1" applyFont="1"/>
    <xf numFmtId="43" fontId="0" fillId="4" borderId="0" xfId="0" applyNumberFormat="1" applyFill="1"/>
    <xf numFmtId="10" fontId="0" fillId="4" borderId="0" xfId="0" applyNumberFormat="1" applyFill="1" applyAlignment="1">
      <alignment horizontal="center"/>
    </xf>
    <xf numFmtId="171" fontId="0" fillId="0" borderId="0" xfId="2" applyNumberFormat="1" applyFont="1"/>
    <xf numFmtId="0" fontId="0" fillId="2" borderId="1" xfId="0" applyFill="1" applyBorder="1"/>
    <xf numFmtId="167" fontId="0" fillId="2" borderId="2" xfId="1" applyNumberFormat="1" applyFont="1" applyFill="1" applyBorder="1"/>
    <xf numFmtId="167" fontId="0" fillId="2" borderId="6" xfId="1" applyNumberFormat="1" applyFont="1" applyFill="1" applyBorder="1"/>
    <xf numFmtId="0" fontId="0" fillId="2" borderId="3" xfId="0" applyFill="1" applyBorder="1"/>
    <xf numFmtId="167" fontId="0" fillId="2" borderId="4" xfId="1" applyNumberFormat="1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7">
    <dxf>
      <font>
        <color rgb="FF9C0006"/>
      </font>
      <fill>
        <patternFill>
          <bgColor rgb="FFFFC7CE"/>
        </patternFill>
      </fill>
    </dxf>
    <dxf>
      <fill>
        <patternFill>
          <bgColor rgb="FFFF111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1111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1111"/>
        </patternFill>
      </fill>
    </dxf>
  </dxfs>
  <tableStyles count="0" defaultTableStyle="TableStyleMedium2" defaultPivotStyle="PivotStyleLight16"/>
  <colors>
    <mruColors>
      <color rgb="FFB375C1"/>
      <color rgb="FFA65DB7"/>
      <color rgb="FF2E80D2"/>
      <color rgb="FF2093C6"/>
      <color rgb="FFFF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Five-Year</a:t>
            </a:r>
            <a:r>
              <a:rPr lang="en-US" sz="2400" baseline="0"/>
              <a:t> Return Sources</a:t>
            </a:r>
            <a:endParaRPr lang="en-US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'Simple Model'!$Q$30:$Q$35</c:f>
              <c:strCache>
                <c:ptCount val="6"/>
                <c:pt idx="0">
                  <c:v>Dividend</c:v>
                </c:pt>
                <c:pt idx="1">
                  <c:v>Same Store Growth</c:v>
                </c:pt>
                <c:pt idx="2">
                  <c:v>Reinvested Cash Flow Growth</c:v>
                </c:pt>
                <c:pt idx="3">
                  <c:v>External Growth </c:v>
                </c:pt>
                <c:pt idx="4">
                  <c:v>Return Arbitrage</c:v>
                </c:pt>
                <c:pt idx="5">
                  <c:v>Recovered Investment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15-43CE-AC25-1CF5CAA6B469}"/>
              </c:ext>
            </c:extLst>
          </c:dPt>
          <c:dPt>
            <c:idx val="1"/>
            <c:bubble3D val="0"/>
            <c:spPr>
              <a:solidFill>
                <a:schemeClr val="tx2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15-43CE-AC25-1CF5CAA6B469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15-43CE-AC25-1CF5CAA6B469}"/>
              </c:ext>
            </c:extLst>
          </c:dPt>
          <c:dPt>
            <c:idx val="3"/>
            <c:bubble3D val="0"/>
            <c:spPr>
              <a:solidFill>
                <a:srgbClr val="B375C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D15-43CE-AC25-1CF5CAA6B469}"/>
              </c:ext>
            </c:extLst>
          </c:dPt>
          <c:dPt>
            <c:idx val="4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0D0-4208-9F74-DBD4A86E72E8}"/>
              </c:ext>
            </c:extLst>
          </c:dPt>
          <c:dPt>
            <c:idx val="5"/>
            <c:bubble3D val="0"/>
            <c:spPr>
              <a:solidFill>
                <a:schemeClr val="bg1">
                  <a:lumMod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0D0-4208-9F74-DBD4A86E72E8}"/>
              </c:ext>
            </c:extLst>
          </c:dPt>
          <c:dLbls>
            <c:dLbl>
              <c:idx val="2"/>
              <c:layout>
                <c:manualLayout>
                  <c:x val="-0.14001169337272037"/>
                  <c:y val="-8.22589681818320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151443692386389"/>
                      <c:h val="8.21310086960088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D15-43CE-AC25-1CF5CAA6B469}"/>
                </c:ext>
              </c:extLst>
            </c:dLbl>
            <c:dLbl>
              <c:idx val="3"/>
              <c:layout>
                <c:manualLayout>
                  <c:x val="-0.14001178524397054"/>
                  <c:y val="-0.1482389371224758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663900974551847"/>
                      <c:h val="9.72782264662542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D15-43CE-AC25-1CF5CAA6B4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'Simple Model'!$Q$30:$Q$35</c:f>
              <c:strCache>
                <c:ptCount val="6"/>
                <c:pt idx="0">
                  <c:v>Dividend</c:v>
                </c:pt>
                <c:pt idx="1">
                  <c:v>Same Store Growth</c:v>
                </c:pt>
                <c:pt idx="2">
                  <c:v>Reinvested Cash Flow Growth</c:v>
                </c:pt>
                <c:pt idx="3">
                  <c:v>External Growth </c:v>
                </c:pt>
                <c:pt idx="4">
                  <c:v>Return Arbitrage</c:v>
                </c:pt>
                <c:pt idx="5">
                  <c:v>Recovered Investment</c:v>
                </c:pt>
              </c:strCache>
            </c:strRef>
          </c:cat>
          <c:val>
            <c:numRef>
              <c:f>'Simple Model'!$Z$30:$Z$35</c:f>
              <c:numCache>
                <c:formatCode>0.00%</c:formatCode>
                <c:ptCount val="6"/>
                <c:pt idx="0">
                  <c:v>0.17752148200792148</c:v>
                </c:pt>
                <c:pt idx="1">
                  <c:v>0.12599532184379103</c:v>
                </c:pt>
                <c:pt idx="2">
                  <c:v>8.7528798283289327E-2</c:v>
                </c:pt>
                <c:pt idx="3">
                  <c:v>9.2598971475557554E-2</c:v>
                </c:pt>
                <c:pt idx="4">
                  <c:v>0</c:v>
                </c:pt>
                <c:pt idx="5">
                  <c:v>0.51635542638944065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15-43CE-AC25-1CF5CAA6B46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Three-Year</a:t>
            </a:r>
            <a:r>
              <a:rPr lang="en-US" sz="1600" baseline="0"/>
              <a:t> Return Sources</a:t>
            </a:r>
            <a:endParaRPr lang="en-U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00562098438694"/>
          <c:y val="0.12076106233997798"/>
          <c:w val="0.65878439350826534"/>
          <c:h val="0.79462357744986378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Three-Year</a:t>
            </a:r>
            <a:r>
              <a:rPr lang="en-US" sz="2400" baseline="0"/>
              <a:t> Return Sources</a:t>
            </a:r>
            <a:endParaRPr lang="en-US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'Simple Model'!$Q$30:$Q$35</c:f>
              <c:strCache>
                <c:ptCount val="6"/>
                <c:pt idx="0">
                  <c:v>Dividend</c:v>
                </c:pt>
                <c:pt idx="1">
                  <c:v>Same Store Growth</c:v>
                </c:pt>
                <c:pt idx="2">
                  <c:v>Reinvested Cash Flow Growth</c:v>
                </c:pt>
                <c:pt idx="3">
                  <c:v>External Growth </c:v>
                </c:pt>
                <c:pt idx="4">
                  <c:v>Return Arbitrage</c:v>
                </c:pt>
                <c:pt idx="5">
                  <c:v>Recovered Investment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4D-42A3-BC62-41AF4CE7E33E}"/>
              </c:ext>
            </c:extLst>
          </c:dPt>
          <c:dPt>
            <c:idx val="1"/>
            <c:bubble3D val="0"/>
            <c:spPr>
              <a:solidFill>
                <a:schemeClr val="tx2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4D-42A3-BC62-41AF4CE7E33E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4D-42A3-BC62-41AF4CE7E33E}"/>
              </c:ext>
            </c:extLst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4D-42A3-BC62-41AF4CE7E33E}"/>
              </c:ext>
            </c:extLst>
          </c:dPt>
          <c:dPt>
            <c:idx val="4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A4D-42A3-BC62-41AF4CE7E33E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A4D-42A3-BC62-41AF4CE7E3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'Simple Model'!$Q$49:$Q$54</c:f>
              <c:strCache>
                <c:ptCount val="6"/>
                <c:pt idx="0">
                  <c:v>Dividend</c:v>
                </c:pt>
                <c:pt idx="1">
                  <c:v>Same Store Growth</c:v>
                </c:pt>
                <c:pt idx="2">
                  <c:v>Reinvested Cash Flow Growth</c:v>
                </c:pt>
                <c:pt idx="3">
                  <c:v>External Growth </c:v>
                </c:pt>
                <c:pt idx="4">
                  <c:v>Return Arbitrage</c:v>
                </c:pt>
                <c:pt idx="5">
                  <c:v>Recovered Investment</c:v>
                </c:pt>
              </c:strCache>
            </c:strRef>
          </c:cat>
          <c:val>
            <c:numRef>
              <c:f>'Simple Model'!$X$49:$X$54</c:f>
              <c:numCache>
                <c:formatCode>0.00%</c:formatCode>
                <c:ptCount val="6"/>
                <c:pt idx="0">
                  <c:v>0.11064584549492969</c:v>
                </c:pt>
                <c:pt idx="1">
                  <c:v>8.9204616106218465E-2</c:v>
                </c:pt>
                <c:pt idx="2">
                  <c:v>6.1970339333549063E-2</c:v>
                </c:pt>
                <c:pt idx="3">
                  <c:v>6.556001906601619E-2</c:v>
                </c:pt>
                <c:pt idx="4">
                  <c:v>0</c:v>
                </c:pt>
                <c:pt idx="5">
                  <c:v>0.67261918000837062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A4D-42A3-BC62-41AF4CE7E3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222422</xdr:colOff>
      <xdr:row>8</xdr:row>
      <xdr:rowOff>33640</xdr:rowOff>
    </xdr:from>
    <xdr:ext cx="436786" cy="81400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7DDEB96-EC8B-C82A-09F2-F779661648FB}"/>
            </a:ext>
          </a:extLst>
        </xdr:cNvPr>
        <xdr:cNvSpPr txBox="1"/>
      </xdr:nvSpPr>
      <xdr:spPr>
        <a:xfrm rot="16200000">
          <a:off x="4186712" y="2108200"/>
          <a:ext cx="81400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100"/>
            <a:t>Sales/</a:t>
          </a:r>
        </a:p>
        <a:p>
          <a:pPr algn="ctr"/>
          <a:r>
            <a:rPr lang="en-US" sz="1100"/>
            <a:t>Investment</a:t>
          </a:r>
        </a:p>
      </xdr:txBody>
    </xdr:sp>
    <xdr:clientData/>
  </xdr:oneCellAnchor>
  <xdr:oneCellAnchor>
    <xdr:from>
      <xdr:col>14</xdr:col>
      <xdr:colOff>384731</xdr:colOff>
      <xdr:row>17</xdr:row>
      <xdr:rowOff>21305</xdr:rowOff>
    </xdr:from>
    <xdr:ext cx="264560" cy="88947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E108793-3A7E-4A7F-92FD-C818C23A3904}"/>
            </a:ext>
          </a:extLst>
        </xdr:cNvPr>
        <xdr:cNvSpPr txBox="1"/>
      </xdr:nvSpPr>
      <xdr:spPr>
        <a:xfrm rot="16200000">
          <a:off x="6885823" y="3096013"/>
          <a:ext cx="8894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100"/>
            <a:t>Payout Ratio</a:t>
          </a:r>
        </a:p>
      </xdr:txBody>
    </xdr:sp>
    <xdr:clientData/>
  </xdr:oneCellAnchor>
  <xdr:oneCellAnchor>
    <xdr:from>
      <xdr:col>6</xdr:col>
      <xdr:colOff>412162</xdr:colOff>
      <xdr:row>25</xdr:row>
      <xdr:rowOff>16511</xdr:rowOff>
    </xdr:from>
    <xdr:ext cx="4121624" cy="95346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B16D6D4-5790-AE5A-582B-86F2F665AF10}"/>
            </a:ext>
          </a:extLst>
        </xdr:cNvPr>
        <xdr:cNvSpPr txBox="1"/>
      </xdr:nvSpPr>
      <xdr:spPr>
        <a:xfrm>
          <a:off x="7778162" y="4725671"/>
          <a:ext cx="4121624" cy="953466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i="1"/>
            <a:t>Implied</a:t>
          </a:r>
          <a:r>
            <a:rPr lang="en-US" sz="1100" i="1" baseline="0"/>
            <a:t> investor r</a:t>
          </a:r>
          <a:r>
            <a:rPr lang="en-US" sz="1100" i="1"/>
            <a:t>eturn (the sum of the dividend yield,</a:t>
          </a:r>
          <a:r>
            <a:rPr lang="en-US" sz="1100" i="1" baseline="0"/>
            <a:t> internal and external growth) </a:t>
          </a:r>
          <a:r>
            <a:rPr lang="en-US" sz="1100" i="1"/>
            <a:t>is before management share compensation dilution, asset</a:t>
          </a:r>
          <a:r>
            <a:rPr lang="en-US" sz="1100" i="1" baseline="0"/>
            <a:t> management fees and </a:t>
          </a:r>
          <a:r>
            <a:rPr lang="en-US" sz="1100" i="1"/>
            <a:t>recycled cash from asset dispositions.  Internal growth</a:t>
          </a:r>
          <a:r>
            <a:rPr lang="en-US" sz="1100" i="1" baseline="0"/>
            <a:t> presumes that cash is reinvested consistent with the incremental  corporate business model.</a:t>
          </a:r>
          <a:endParaRPr lang="en-US" sz="1100" i="1"/>
        </a:p>
      </xdr:txBody>
    </xdr:sp>
    <xdr:clientData/>
  </xdr:oneCellAnchor>
  <xdr:oneCellAnchor>
    <xdr:from>
      <xdr:col>1</xdr:col>
      <xdr:colOff>1380851</xdr:colOff>
      <xdr:row>31</xdr:row>
      <xdr:rowOff>107228</xdr:rowOff>
    </xdr:from>
    <xdr:ext cx="2381250" cy="40536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3F85D37-7B22-666F-CC81-D8B4190ADF33}"/>
            </a:ext>
          </a:extLst>
        </xdr:cNvPr>
        <xdr:cNvSpPr txBox="1"/>
      </xdr:nvSpPr>
      <xdr:spPr>
        <a:xfrm>
          <a:off x="1992760" y="5042910"/>
          <a:ext cx="2381250" cy="405367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 b="1" i="1"/>
            <a:t>Bold</a:t>
          </a:r>
          <a:r>
            <a:rPr lang="en-US" sz="1000" i="1" baseline="0"/>
            <a:t> i</a:t>
          </a:r>
          <a:r>
            <a:rPr lang="en-US" sz="1000" i="1"/>
            <a:t>nput variables</a:t>
          </a:r>
          <a:r>
            <a:rPr lang="en-US" sz="1000" i="1" baseline="0"/>
            <a:t> are the Value Equation variables essential to current equity returns.</a:t>
          </a:r>
          <a:endParaRPr lang="en-US" sz="1000" i="1"/>
        </a:p>
      </xdr:txBody>
    </xdr:sp>
    <xdr:clientData/>
  </xdr:oneCellAnchor>
  <xdr:oneCellAnchor>
    <xdr:from>
      <xdr:col>5</xdr:col>
      <xdr:colOff>736873</xdr:colOff>
      <xdr:row>7</xdr:row>
      <xdr:rowOff>76414</xdr:rowOff>
    </xdr:from>
    <xdr:ext cx="264560" cy="1147558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113990C-AFA7-4C02-913B-A8DD1BF13833}"/>
            </a:ext>
          </a:extLst>
        </xdr:cNvPr>
        <xdr:cNvSpPr txBox="1"/>
      </xdr:nvSpPr>
      <xdr:spPr>
        <a:xfrm rot="16200000">
          <a:off x="6726192" y="1874504"/>
          <a:ext cx="11475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100"/>
            <a:t>Operating Margin</a:t>
          </a:r>
        </a:p>
      </xdr:txBody>
    </xdr:sp>
    <xdr:clientData/>
  </xdr:oneCellAnchor>
  <xdr:oneCellAnchor>
    <xdr:from>
      <xdr:col>5</xdr:col>
      <xdr:colOff>736873</xdr:colOff>
      <xdr:row>16</xdr:row>
      <xdr:rowOff>76414</xdr:rowOff>
    </xdr:from>
    <xdr:ext cx="264560" cy="1147558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33EC33C-BA55-4DF4-957F-942498DC2BBB}"/>
            </a:ext>
          </a:extLst>
        </xdr:cNvPr>
        <xdr:cNvSpPr txBox="1"/>
      </xdr:nvSpPr>
      <xdr:spPr>
        <a:xfrm rot="16200000">
          <a:off x="6726192" y="3589004"/>
          <a:ext cx="11475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100"/>
            <a:t>Operating Margin</a:t>
          </a:r>
        </a:p>
      </xdr:txBody>
    </xdr:sp>
    <xdr:clientData/>
  </xdr:oneCellAnchor>
  <xdr:oneCellAnchor>
    <xdr:from>
      <xdr:col>0</xdr:col>
      <xdr:colOff>541954</xdr:colOff>
      <xdr:row>50</xdr:row>
      <xdr:rowOff>46053</xdr:rowOff>
    </xdr:from>
    <xdr:ext cx="1019190" cy="436786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80779DD-83D1-D1CA-AFD9-28ABD2205804}"/>
            </a:ext>
          </a:extLst>
        </xdr:cNvPr>
        <xdr:cNvSpPr txBox="1"/>
      </xdr:nvSpPr>
      <xdr:spPr>
        <a:xfrm>
          <a:off x="541954" y="9540573"/>
          <a:ext cx="101919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Dividend Yield:</a:t>
          </a:r>
        </a:p>
        <a:p>
          <a:r>
            <a:rPr lang="en-US" sz="1100"/>
            <a:t>1 / k X j</a:t>
          </a:r>
        </a:p>
      </xdr:txBody>
    </xdr:sp>
    <xdr:clientData/>
  </xdr:oneCellAnchor>
  <xdr:twoCellAnchor editAs="oneCell">
    <xdr:from>
      <xdr:col>40</xdr:col>
      <xdr:colOff>0</xdr:colOff>
      <xdr:row>65</xdr:row>
      <xdr:rowOff>0</xdr:rowOff>
    </xdr:from>
    <xdr:to>
      <xdr:col>50</xdr:col>
      <xdr:colOff>587363</xdr:colOff>
      <xdr:row>107</xdr:row>
      <xdr:rowOff>76217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18135B8-C7F0-AB51-6767-AF530C16B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96167" y="11549944"/>
          <a:ext cx="6655142" cy="7798201"/>
        </a:xfrm>
        <a:prstGeom prst="rect">
          <a:avLst/>
        </a:prstGeom>
      </xdr:spPr>
    </xdr:pic>
    <xdr:clientData/>
  </xdr:twoCellAnchor>
  <xdr:oneCellAnchor>
    <xdr:from>
      <xdr:col>9</xdr:col>
      <xdr:colOff>616044</xdr:colOff>
      <xdr:row>40</xdr:row>
      <xdr:rowOff>9477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EFAE33F-4DD1-4459-FE0C-7DB150E113E7}"/>
            </a:ext>
          </a:extLst>
        </xdr:cNvPr>
        <xdr:cNvSpPr txBox="1"/>
      </xdr:nvSpPr>
      <xdr:spPr>
        <a:xfrm>
          <a:off x="10197910" y="6681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37523</xdr:colOff>
      <xdr:row>31</xdr:row>
      <xdr:rowOff>108238</xdr:rowOff>
    </xdr:from>
    <xdr:ext cx="949613" cy="40536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A1DFB48-6422-4EB8-9544-6AC817EE3CD7}"/>
            </a:ext>
          </a:extLst>
        </xdr:cNvPr>
        <xdr:cNvSpPr txBox="1"/>
      </xdr:nvSpPr>
      <xdr:spPr>
        <a:xfrm>
          <a:off x="649432" y="5043920"/>
          <a:ext cx="949613" cy="405367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 b="1" i="1" baseline="0">
              <a:solidFill>
                <a:schemeClr val="accent6"/>
              </a:solidFill>
            </a:rPr>
            <a:t>Green</a:t>
          </a:r>
          <a:r>
            <a:rPr lang="en-US" sz="1000" i="1" baseline="0"/>
            <a:t> lines </a:t>
          </a:r>
        </a:p>
        <a:p>
          <a:r>
            <a:rPr lang="en-US" sz="1000" i="1" baseline="0"/>
            <a:t>are calculated. </a:t>
          </a:r>
          <a:endParaRPr lang="en-US" sz="1000" i="1"/>
        </a:p>
      </xdr:txBody>
    </xdr:sp>
    <xdr:clientData/>
  </xdr:oneCellAnchor>
  <xdr:oneCellAnchor>
    <xdr:from>
      <xdr:col>0</xdr:col>
      <xdr:colOff>540761</xdr:colOff>
      <xdr:row>52</xdr:row>
      <xdr:rowOff>165733</xdr:rowOff>
    </xdr:from>
    <xdr:ext cx="5392447" cy="2460628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C555C6A-374F-F282-2A5A-1B90E315633C}"/>
            </a:ext>
          </a:extLst>
        </xdr:cNvPr>
        <xdr:cNvSpPr txBox="1"/>
      </xdr:nvSpPr>
      <xdr:spPr>
        <a:xfrm>
          <a:off x="540761" y="10026013"/>
          <a:ext cx="5392447" cy="2460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Internal</a:t>
          </a:r>
          <a:r>
            <a:rPr lang="en-US" sz="1100" baseline="0"/>
            <a:t> Growth:</a:t>
          </a:r>
        </a:p>
        <a:p>
          <a:endParaRPr lang="en-US" sz="1100" baseline="0"/>
        </a:p>
        <a:p>
          <a:r>
            <a:rPr lang="en-US" sz="1100" baseline="0"/>
            <a:t>Same Store:</a:t>
          </a:r>
        </a:p>
        <a:p>
          <a:r>
            <a:rPr lang="en-US" sz="1100"/>
            <a:t>((((a</a:t>
          </a:r>
          <a:r>
            <a:rPr lang="en-US" sz="1100" baseline="0"/>
            <a:t> x </a:t>
          </a:r>
          <a:r>
            <a:rPr lang="en-US" sz="1100"/>
            <a:t>(1 + i))</a:t>
          </a:r>
          <a:r>
            <a:rPr lang="en-US" sz="1100" baseline="0"/>
            <a:t> x </a:t>
          </a:r>
          <a:r>
            <a:rPr lang="en-US" sz="1100"/>
            <a:t>d) - f x</a:t>
          </a:r>
          <a:r>
            <a:rPr lang="en-US" sz="1100" baseline="0"/>
            <a:t> </a:t>
          </a:r>
          <a:r>
            <a:rPr lang="en-US" sz="1100"/>
            <a:t>g - h) - ((a</a:t>
          </a:r>
          <a:r>
            <a:rPr lang="en-US" sz="1100" baseline="0"/>
            <a:t> x </a:t>
          </a:r>
          <a:r>
            <a:rPr lang="en-US" sz="1100"/>
            <a:t>(1 + i)) x</a:t>
          </a:r>
          <a:r>
            <a:rPr lang="en-US" sz="1100" baseline="0"/>
            <a:t> </a:t>
          </a:r>
          <a:r>
            <a:rPr lang="en-US" sz="1100"/>
            <a:t>d) - f x</a:t>
          </a:r>
          <a:r>
            <a:rPr lang="en-US" sz="1100" baseline="0"/>
            <a:t> </a:t>
          </a:r>
          <a:r>
            <a:rPr lang="en-US" sz="1100"/>
            <a:t>g - h) x</a:t>
          </a:r>
          <a:r>
            <a:rPr lang="en-US" sz="1100" baseline="0"/>
            <a:t> </a:t>
          </a:r>
          <a:r>
            <a:rPr lang="en-US" sz="1100"/>
            <a:t>e) /</a:t>
          </a:r>
        </a:p>
        <a:p>
          <a:r>
            <a:rPr lang="en-US" sz="1100"/>
            <a:t>((a</a:t>
          </a:r>
          <a:r>
            <a:rPr lang="en-US" sz="1100" baseline="0"/>
            <a:t> x </a:t>
          </a:r>
          <a:r>
            <a:rPr lang="en-US" sz="1100"/>
            <a:t>d - f x</a:t>
          </a:r>
          <a:r>
            <a:rPr lang="en-US" sz="1100" baseline="0"/>
            <a:t> </a:t>
          </a:r>
          <a:r>
            <a:rPr lang="en-US" sz="1100"/>
            <a:t>g - h) - (a</a:t>
          </a:r>
          <a:r>
            <a:rPr lang="en-US" sz="1100" baseline="0"/>
            <a:t> x </a:t>
          </a:r>
          <a:r>
            <a:rPr lang="en-US" sz="1100"/>
            <a:t>d - f</a:t>
          </a:r>
          <a:r>
            <a:rPr lang="en-US" sz="1100" baseline="0"/>
            <a:t> x </a:t>
          </a:r>
          <a:r>
            <a:rPr lang="en-US" sz="1100"/>
            <a:t>g - h) x</a:t>
          </a:r>
          <a:r>
            <a:rPr lang="en-US" sz="1100" baseline="0"/>
            <a:t> </a:t>
          </a:r>
          <a:r>
            <a:rPr lang="en-US" sz="1100"/>
            <a:t>e) -1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Reinvested Cash Flow: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>
              <a:effectLst/>
            </a:rPr>
            <a:t>=(((((a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 - 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 x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g - h)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e) - ((a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 - 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h)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e)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x j)) / (1 - f)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a2)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>
              <a:effectLst/>
            </a:rPr>
            <a:t>-(((a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 - 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e) - ((a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 - 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e)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j))/(1 - f) x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f x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g1) -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>
              <a:effectLst/>
            </a:rPr>
            <a:t>(((a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- 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</a:t>
          </a:r>
          <a:r>
            <a:rPr lang="en-US" baseline="0">
              <a:effectLst/>
            </a:rPr>
            <a:t> - </a:t>
          </a:r>
          <a:r>
            <a:rPr lang="en-US">
              <a:effectLst/>
            </a:rPr>
            <a:t>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e) - ((a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 - 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e)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j)) / (1 - f)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h) -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>
              <a:effectLst/>
            </a:rPr>
            <a:t>(((((a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 - 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e) -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((a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 - 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 x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g - h)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e)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j)) / (1 - f)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a2)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>
              <a:effectLst/>
            </a:rPr>
            <a:t>((a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 - 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 x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g - h)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e) - ((a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 x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g - h -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e)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j)) / (1 - f) x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g1) -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>
              <a:effectLst/>
            </a:rPr>
            <a:t>(((a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 - 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 x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g - h) x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e) - ((a x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 - 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e)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x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j)) / (1 - f) x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h))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e))/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>
              <a:effectLst/>
            </a:rPr>
            <a:t>((a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</a:t>
          </a:r>
          <a:r>
            <a:rPr lang="en-US" baseline="0">
              <a:effectLst/>
            </a:rPr>
            <a:t> - </a:t>
          </a:r>
          <a:r>
            <a:rPr lang="en-US">
              <a:effectLst/>
            </a:rPr>
            <a:t>f x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g - h) - (a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d - f</a:t>
          </a:r>
          <a:r>
            <a:rPr lang="en-US" baseline="0">
              <a:effectLst/>
            </a:rPr>
            <a:t> x </a:t>
          </a:r>
          <a:r>
            <a:rPr lang="en-US">
              <a:effectLst/>
            </a:rPr>
            <a:t>g - h) x</a:t>
          </a:r>
          <a:r>
            <a:rPr lang="en-US" baseline="0">
              <a:effectLst/>
            </a:rPr>
            <a:t> </a:t>
          </a:r>
          <a:r>
            <a:rPr lang="en-US">
              <a:effectLst/>
            </a:rPr>
            <a:t>e)</a:t>
          </a:r>
        </a:p>
        <a:p>
          <a:endParaRPr lang="en-US" sz="1100"/>
        </a:p>
        <a:p>
          <a:endParaRPr lang="en-US" sz="1600"/>
        </a:p>
        <a:p>
          <a:endParaRPr lang="en-US" sz="1600"/>
        </a:p>
        <a:p>
          <a:endParaRPr lang="en-US" sz="1100"/>
        </a:p>
      </xdr:txBody>
    </xdr:sp>
    <xdr:clientData/>
  </xdr:oneCellAnchor>
  <xdr:oneCellAnchor>
    <xdr:from>
      <xdr:col>0</xdr:col>
      <xdr:colOff>508232</xdr:colOff>
      <xdr:row>65</xdr:row>
      <xdr:rowOff>52880</xdr:rowOff>
    </xdr:from>
    <xdr:ext cx="3706090" cy="1137228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C8F3CEE-FC3F-E7AF-1190-A7276810D7BE}"/>
            </a:ext>
          </a:extLst>
        </xdr:cNvPr>
        <xdr:cNvSpPr txBox="1"/>
      </xdr:nvSpPr>
      <xdr:spPr>
        <a:xfrm>
          <a:off x="508232" y="12382040"/>
          <a:ext cx="3706090" cy="11372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/>
            <a:t>External Growth:</a:t>
          </a:r>
        </a:p>
        <a:p>
          <a:r>
            <a:rPr lang="en-US" sz="1100"/>
            <a:t>(((1 - f)</a:t>
          </a:r>
          <a:r>
            <a:rPr lang="en-US" sz="1100" baseline="0"/>
            <a:t> x b/(1 - f) x ((1 - f) x b/1 - f)) x a2/(((1-f) x b/(1 - f)) + (1 -f) x b x c) x d - ((1 - f) x b/(1-f) x b/(1 - f) x f x g1) - ((1 - f) x b/(1 - f) x h)-(((1 - f) x b/(1 -f) x ((1 - f) x b x c) x d - ((1-f) x b/(1 - f)) + (1 - f) x b x c) x d - ((1 - f) x b/1 - f) x f x g1) - ((1 -f) x b/(1 - f) x h)) x e) - ((1 - f) x b x 1/k)) x (1 - b))/((a x d - f x g - h) - ((a x d - f x g - h) x e))</a:t>
          </a:r>
          <a:endParaRPr lang="en-US" sz="1100"/>
        </a:p>
      </xdr:txBody>
    </xdr:sp>
    <xdr:clientData/>
  </xdr:oneCellAnchor>
  <xdr:oneCellAnchor>
    <xdr:from>
      <xdr:col>0</xdr:col>
      <xdr:colOff>492298</xdr:colOff>
      <xdr:row>71</xdr:row>
      <xdr:rowOff>200199</xdr:rowOff>
    </xdr:from>
    <xdr:ext cx="2488245" cy="43678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F6C4039-CBCD-4590-9F9C-102C0CED7ADC}"/>
            </a:ext>
          </a:extLst>
        </xdr:cNvPr>
        <xdr:cNvSpPr txBox="1"/>
      </xdr:nvSpPr>
      <xdr:spPr>
        <a:xfrm>
          <a:off x="492298" y="13626639"/>
          <a:ext cx="248824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Share Price Cash Flow Multiple Arbitrage:</a:t>
          </a:r>
        </a:p>
        <a:p>
          <a:r>
            <a:rPr lang="en-US" sz="1100"/>
            <a:t> k1/k -1</a:t>
          </a:r>
          <a:r>
            <a:rPr lang="en-US" sz="1100" baseline="0"/>
            <a:t> </a:t>
          </a:r>
          <a:endParaRPr lang="en-US" sz="1100"/>
        </a:p>
      </xdr:txBody>
    </xdr:sp>
    <xdr:clientData/>
  </xdr:oneCellAnchor>
  <xdr:twoCellAnchor>
    <xdr:from>
      <xdr:col>26</xdr:col>
      <xdr:colOff>57726</xdr:colOff>
      <xdr:row>15</xdr:row>
      <xdr:rowOff>132837</xdr:rowOff>
    </xdr:from>
    <xdr:to>
      <xdr:col>34</xdr:col>
      <xdr:colOff>44898</xdr:colOff>
      <xdr:row>39</xdr:row>
      <xdr:rowOff>178956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93312BFD-1495-4023-BD24-D250258C1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167408</xdr:colOff>
      <xdr:row>41</xdr:row>
      <xdr:rowOff>17318</xdr:rowOff>
    </xdr:from>
    <xdr:to>
      <xdr:col>24</xdr:col>
      <xdr:colOff>357911</xdr:colOff>
      <xdr:row>57</xdr:row>
      <xdr:rowOff>69273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A28E9830-C349-4877-A072-7AE330D25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144317</xdr:colOff>
      <xdr:row>39</xdr:row>
      <xdr:rowOff>86592</xdr:rowOff>
    </xdr:from>
    <xdr:to>
      <xdr:col>34</xdr:col>
      <xdr:colOff>131489</xdr:colOff>
      <xdr:row>63</xdr:row>
      <xdr:rowOff>34574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AB97DEA4-0754-4E0A-81CD-844B6D93E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736873</xdr:colOff>
      <xdr:row>7</xdr:row>
      <xdr:rowOff>76414</xdr:rowOff>
    </xdr:from>
    <xdr:ext cx="264560" cy="1147558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0AF4B8A-3287-43DC-AC03-8675E6777902}"/>
            </a:ext>
          </a:extLst>
        </xdr:cNvPr>
        <xdr:cNvSpPr txBox="1"/>
      </xdr:nvSpPr>
      <xdr:spPr>
        <a:xfrm rot="16200000">
          <a:off x="6716494" y="3560833"/>
          <a:ext cx="11475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100"/>
            <a:t>Operating Margin</a:t>
          </a:r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2</xdr:col>
      <xdr:colOff>463550</xdr:colOff>
      <xdr:row>0</xdr:row>
      <xdr:rowOff>459740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F1199ACC-9E31-DB2D-1AC9-BBD81C3A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3441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5D53C-9DFD-4ED8-AD04-5117328B9010}">
  <dimension ref="B1:AD78"/>
  <sheetViews>
    <sheetView showGridLines="0" tabSelected="1" zoomScale="125" zoomScaleNormal="125" workbookViewId="0">
      <selection activeCell="A4" sqref="A4"/>
    </sheetView>
  </sheetViews>
  <sheetFormatPr defaultRowHeight="14.5" x14ac:dyDescent="0.35"/>
  <cols>
    <col min="2" max="2" width="42.6328125" customWidth="1"/>
    <col min="3" max="6" width="13.54296875" customWidth="1"/>
    <col min="7" max="7" width="8.6328125" customWidth="1"/>
    <col min="8" max="8" width="13.54296875" customWidth="1"/>
    <col min="9" max="9" width="8.1796875" customWidth="1"/>
    <col min="10" max="10" width="9.81640625" bestFit="1" customWidth="1"/>
    <col min="11" max="12" width="9.1796875" customWidth="1"/>
    <col min="15" max="16" width="8.7265625" customWidth="1"/>
    <col min="19" max="26" width="8.6328125" customWidth="1"/>
    <col min="28" max="28" width="9.1796875" bestFit="1" customWidth="1"/>
    <col min="31" max="32" width="12.54296875" customWidth="1"/>
  </cols>
  <sheetData>
    <row r="1" spans="2:22" ht="38.5" customHeight="1" x14ac:dyDescent="0.35"/>
    <row r="2" spans="2:22" ht="28.5" x14ac:dyDescent="0.65">
      <c r="B2" s="14" t="s">
        <v>114</v>
      </c>
    </row>
    <row r="4" spans="2:22" ht="16" x14ac:dyDescent="0.4">
      <c r="B4" s="102" t="s">
        <v>56</v>
      </c>
      <c r="F4" s="102" t="s">
        <v>5</v>
      </c>
    </row>
    <row r="5" spans="2:22" x14ac:dyDescent="0.35">
      <c r="B5" s="1" t="s">
        <v>73</v>
      </c>
      <c r="C5" s="4">
        <v>8.3000000000000004E-2</v>
      </c>
      <c r="F5" s="25"/>
    </row>
    <row r="6" spans="2:22" ht="18.5" x14ac:dyDescent="0.45">
      <c r="B6" s="104" t="s">
        <v>83</v>
      </c>
      <c r="C6" s="103">
        <f>(C21/(1-C11)*(1-C13)+C13*C14+C17)/C10</f>
        <v>6.9444444444444448E-2</v>
      </c>
      <c r="D6" s="131"/>
      <c r="F6" s="25"/>
      <c r="H6" s="137" t="s">
        <v>125</v>
      </c>
      <c r="I6" s="137"/>
      <c r="J6" s="137"/>
      <c r="K6" s="137"/>
      <c r="L6" s="137"/>
      <c r="M6" s="137"/>
      <c r="Q6" s="137" t="s">
        <v>0</v>
      </c>
      <c r="R6" s="137"/>
      <c r="S6" s="137"/>
      <c r="T6" s="137"/>
      <c r="U6" s="137"/>
      <c r="V6" s="137"/>
    </row>
    <row r="7" spans="2:22" x14ac:dyDescent="0.35">
      <c r="B7" s="2" t="s">
        <v>74</v>
      </c>
      <c r="C7" s="91">
        <v>8.3000000000000004E-2</v>
      </c>
      <c r="D7" s="76"/>
      <c r="F7" s="25"/>
      <c r="G7" s="7"/>
      <c r="H7" s="138" t="s">
        <v>32</v>
      </c>
      <c r="I7" s="138"/>
      <c r="J7" s="138"/>
      <c r="K7" s="138"/>
      <c r="L7" s="138"/>
      <c r="M7" s="138"/>
      <c r="Q7" s="138" t="s">
        <v>24</v>
      </c>
      <c r="R7" s="138"/>
      <c r="S7" s="138"/>
      <c r="T7" s="138"/>
      <c r="U7" s="138"/>
      <c r="V7" s="138"/>
    </row>
    <row r="8" spans="2:22" x14ac:dyDescent="0.35">
      <c r="B8" s="2" t="s">
        <v>120</v>
      </c>
      <c r="C8" s="91">
        <v>0.1</v>
      </c>
      <c r="D8" s="77"/>
      <c r="F8" s="25"/>
      <c r="G8" s="6">
        <f>IF(C26&gt;0,C26,0)</f>
        <v>9.2999999999999999E-2</v>
      </c>
      <c r="H8" s="54">
        <v>0.08</v>
      </c>
      <c r="I8" s="54">
        <v>8.1000000000000003E-2</v>
      </c>
      <c r="J8" s="54">
        <v>8.2000000000000003E-2</v>
      </c>
      <c r="K8" s="54">
        <v>8.3000000000000004E-2</v>
      </c>
      <c r="L8" s="54">
        <v>8.4000000000000005E-2</v>
      </c>
      <c r="M8" s="54">
        <v>8.5000000000000006E-2</v>
      </c>
      <c r="P8" s="6">
        <f>IF(C44&gt;0,C44, 0)</f>
        <v>2.951612903225808E-2</v>
      </c>
      <c r="Q8" s="24">
        <v>12</v>
      </c>
      <c r="R8" s="24">
        <v>13</v>
      </c>
      <c r="S8" s="24">
        <v>15</v>
      </c>
      <c r="T8" s="24">
        <v>17.5</v>
      </c>
      <c r="U8" s="24">
        <v>20</v>
      </c>
      <c r="V8" s="24">
        <v>22.5</v>
      </c>
    </row>
    <row r="9" spans="2:22" x14ac:dyDescent="0.35">
      <c r="B9" s="2" t="s">
        <v>54</v>
      </c>
      <c r="C9" s="91">
        <v>0</v>
      </c>
      <c r="D9" s="76"/>
      <c r="F9" s="25"/>
      <c r="G9" s="13">
        <v>0.75</v>
      </c>
      <c r="H9" s="44">
        <f t="dataTable" ref="H9:M13" dt2D="1" dtr="1" r1="C6" r2="C10" ca="1"/>
        <v>6.1874999999999999E-2</v>
      </c>
      <c r="I9" s="45">
        <v>6.1874999999999999E-2</v>
      </c>
      <c r="J9" s="45">
        <v>6.1874999999999999E-2</v>
      </c>
      <c r="K9" s="45">
        <v>6.1874999999999999E-2</v>
      </c>
      <c r="L9" s="45">
        <v>6.1874999999999999E-2</v>
      </c>
      <c r="M9" s="46">
        <v>6.1874999999999999E-2</v>
      </c>
      <c r="P9" s="12">
        <v>0.08</v>
      </c>
      <c r="Q9" s="44">
        <f t="dataTable" ref="Q9:V13" dt2D="1" dtr="1" r1="C20" r2="C5" ca="1"/>
        <v>1.0086956521739139E-2</v>
      </c>
      <c r="R9" s="45">
        <v>1.6775919732441483E-2</v>
      </c>
      <c r="S9" s="45">
        <v>2.747826086956523E-2</v>
      </c>
      <c r="T9" s="45">
        <v>3.7416149068322982E-2</v>
      </c>
      <c r="U9" s="45">
        <v>4.4869565217391306E-2</v>
      </c>
      <c r="V9" s="46">
        <v>5.0666666666666672E-2</v>
      </c>
    </row>
    <row r="10" spans="2:22" x14ac:dyDescent="0.35">
      <c r="B10" s="2" t="s">
        <v>53</v>
      </c>
      <c r="C10" s="91">
        <v>0.9</v>
      </c>
      <c r="D10" s="76"/>
      <c r="F10" s="25"/>
      <c r="G10" s="13">
        <v>0.8</v>
      </c>
      <c r="H10" s="47">
        <v>7.2249999999999995E-2</v>
      </c>
      <c r="I10" s="48">
        <v>7.2249999999999995E-2</v>
      </c>
      <c r="J10" s="48">
        <v>7.2249999999999995E-2</v>
      </c>
      <c r="K10" s="48">
        <v>7.2249999999999995E-2</v>
      </c>
      <c r="L10" s="48">
        <v>7.2249999999999995E-2</v>
      </c>
      <c r="M10" s="49">
        <v>7.2249999999999995E-2</v>
      </c>
      <c r="P10" s="12">
        <v>8.1250000000000003E-2</v>
      </c>
      <c r="Q10" s="47">
        <v>9.7684210526315859E-3</v>
      </c>
      <c r="R10" s="48">
        <v>1.6246153846153858E-2</v>
      </c>
      <c r="S10" s="48">
        <v>2.6610526315789484E-2</v>
      </c>
      <c r="T10" s="48">
        <v>3.6234586466165418E-2</v>
      </c>
      <c r="U10" s="48">
        <v>4.3452631578947368E-2</v>
      </c>
      <c r="V10" s="49">
        <v>4.9066666666666668E-2</v>
      </c>
    </row>
    <row r="11" spans="2:22" x14ac:dyDescent="0.35">
      <c r="B11" s="2" t="s">
        <v>52</v>
      </c>
      <c r="C11" s="91">
        <v>0</v>
      </c>
      <c r="D11" s="76"/>
      <c r="F11" s="25"/>
      <c r="G11" s="13">
        <v>0.85</v>
      </c>
      <c r="H11" s="47">
        <v>8.2625000000000004E-2</v>
      </c>
      <c r="I11" s="48">
        <v>8.2625000000000004E-2</v>
      </c>
      <c r="J11" s="48">
        <v>8.2625000000000004E-2</v>
      </c>
      <c r="K11" s="48">
        <v>8.2625000000000004E-2</v>
      </c>
      <c r="L11" s="48">
        <v>8.2625000000000004E-2</v>
      </c>
      <c r="M11" s="49">
        <v>8.2625000000000004E-2</v>
      </c>
      <c r="P11" s="12">
        <v>8.2000000000000003E-2</v>
      </c>
      <c r="Q11" s="47">
        <v>9.5867768595041414E-3</v>
      </c>
      <c r="R11" s="48">
        <v>1.5944055944055957E-2</v>
      </c>
      <c r="S11" s="48">
        <v>2.6115702479338858E-2</v>
      </c>
      <c r="T11" s="48">
        <v>3.5560802833530115E-2</v>
      </c>
      <c r="U11" s="48">
        <v>4.2644628099173562E-2</v>
      </c>
      <c r="V11" s="49">
        <v>4.8154269972451799E-2</v>
      </c>
    </row>
    <row r="12" spans="2:22" x14ac:dyDescent="0.35">
      <c r="B12" s="2" t="s">
        <v>51</v>
      </c>
      <c r="C12" s="91">
        <v>0.6</v>
      </c>
      <c r="D12" s="76"/>
      <c r="F12" s="25"/>
      <c r="G12" s="13">
        <v>0.9</v>
      </c>
      <c r="H12" s="47">
        <v>9.2999999999999999E-2</v>
      </c>
      <c r="I12" s="48">
        <v>9.2999999999999999E-2</v>
      </c>
      <c r="J12" s="48">
        <v>9.2999999999999999E-2</v>
      </c>
      <c r="K12" s="48">
        <v>9.2999999999999999E-2</v>
      </c>
      <c r="L12" s="48">
        <v>9.2999999999999999E-2</v>
      </c>
      <c r="M12" s="49">
        <v>9.2999999999999999E-2</v>
      </c>
      <c r="P12" s="12">
        <v>8.3250000000000005E-2</v>
      </c>
      <c r="Q12" s="47">
        <v>9.2985971943887868E-3</v>
      </c>
      <c r="R12" s="48">
        <v>1.5464775705256679E-2</v>
      </c>
      <c r="S12" s="48">
        <v>2.5330661322645304E-2</v>
      </c>
      <c r="T12" s="48">
        <v>3.4491840824506161E-2</v>
      </c>
      <c r="U12" s="48">
        <v>4.1362725450901812E-2</v>
      </c>
      <c r="V12" s="49">
        <v>4.6706746826987319E-2</v>
      </c>
    </row>
    <row r="13" spans="2:22" x14ac:dyDescent="0.35">
      <c r="B13" s="104" t="s">
        <v>81</v>
      </c>
      <c r="C13" s="105">
        <f>C12/((1-C12)*C29+C12)</f>
        <v>0.50200803212851397</v>
      </c>
      <c r="F13" s="25"/>
      <c r="G13" s="13">
        <v>0.95</v>
      </c>
      <c r="H13" s="50">
        <v>0.10337500000000001</v>
      </c>
      <c r="I13" s="51">
        <v>0.10337500000000001</v>
      </c>
      <c r="J13" s="51">
        <v>0.10337500000000001</v>
      </c>
      <c r="K13" s="51">
        <v>0.10337500000000001</v>
      </c>
      <c r="L13" s="51">
        <v>0.10337500000000001</v>
      </c>
      <c r="M13" s="52">
        <v>0.10337500000000001</v>
      </c>
      <c r="P13" s="12">
        <v>8.5000000000000006E-2</v>
      </c>
      <c r="Q13" s="50">
        <v>8.9230769230769294E-3</v>
      </c>
      <c r="R13" s="51">
        <v>1.4840236686390541E-2</v>
      </c>
      <c r="S13" s="51">
        <v>2.4307692307692318E-2</v>
      </c>
      <c r="T13" s="51">
        <v>3.3098901098901096E-2</v>
      </c>
      <c r="U13" s="51">
        <v>3.9692307692307693E-2</v>
      </c>
      <c r="V13" s="52">
        <v>4.4820512820512824E-2</v>
      </c>
    </row>
    <row r="14" spans="2:22" x14ac:dyDescent="0.35">
      <c r="B14" s="2" t="s">
        <v>75</v>
      </c>
      <c r="C14" s="91">
        <v>6.25E-2</v>
      </c>
      <c r="F14" s="25"/>
    </row>
    <row r="15" spans="2:22" ht="18.5" x14ac:dyDescent="0.45">
      <c r="B15" s="2" t="s">
        <v>76</v>
      </c>
      <c r="C15" s="91">
        <v>6.25E-2</v>
      </c>
      <c r="H15" s="137" t="s">
        <v>124</v>
      </c>
      <c r="I15" s="137"/>
      <c r="J15" s="137"/>
      <c r="K15" s="137"/>
      <c r="L15" s="137"/>
      <c r="M15" s="137"/>
      <c r="Q15" s="137" t="s">
        <v>4</v>
      </c>
      <c r="R15" s="137"/>
      <c r="S15" s="137"/>
      <c r="T15" s="137"/>
      <c r="U15" s="137"/>
      <c r="V15" s="137"/>
    </row>
    <row r="16" spans="2:22" x14ac:dyDescent="0.35">
      <c r="B16" s="2" t="s">
        <v>77</v>
      </c>
      <c r="C16" s="91">
        <v>0</v>
      </c>
      <c r="G16" s="7"/>
      <c r="H16" s="138" t="s">
        <v>32</v>
      </c>
      <c r="I16" s="138"/>
      <c r="J16" s="138"/>
      <c r="K16" s="138"/>
      <c r="L16" s="138"/>
      <c r="M16" s="138"/>
      <c r="P16" s="7"/>
      <c r="Q16" s="138" t="s">
        <v>33</v>
      </c>
      <c r="R16" s="138"/>
      <c r="S16" s="138"/>
      <c r="T16" s="138"/>
      <c r="U16" s="138"/>
      <c r="V16" s="138"/>
    </row>
    <row r="17" spans="2:28" x14ac:dyDescent="0.35">
      <c r="B17" s="104" t="s">
        <v>82</v>
      </c>
      <c r="C17" s="105">
        <f>C16/((1-C12)*C29+C12)</f>
        <v>0</v>
      </c>
      <c r="G17" s="6">
        <f>C29</f>
        <v>1.488</v>
      </c>
      <c r="H17" s="54">
        <v>0.08</v>
      </c>
      <c r="I17" s="54">
        <v>8.1000000000000003E-2</v>
      </c>
      <c r="J17" s="54">
        <v>8.2000000000000003E-2</v>
      </c>
      <c r="K17" s="54">
        <v>8.3000000000000004E-2</v>
      </c>
      <c r="L17" s="54">
        <v>8.4000000000000005E-2</v>
      </c>
      <c r="M17" s="54">
        <v>8.5000000000000006E-2</v>
      </c>
      <c r="O17" s="8"/>
      <c r="P17" s="6">
        <f>C42</f>
        <v>6.8061290322580542E-2</v>
      </c>
      <c r="Q17" s="26">
        <v>0</v>
      </c>
      <c r="R17" s="26">
        <v>0.01</v>
      </c>
      <c r="S17" s="26">
        <v>1.4999999999999999E-2</v>
      </c>
      <c r="T17" s="26">
        <v>0.02</v>
      </c>
      <c r="U17" s="26">
        <v>2.5000000000000001E-2</v>
      </c>
      <c r="V17" s="26">
        <v>0.03</v>
      </c>
    </row>
    <row r="18" spans="2:28" x14ac:dyDescent="0.35">
      <c r="B18" s="2" t="s">
        <v>78</v>
      </c>
      <c r="C18" s="91">
        <v>0.02</v>
      </c>
      <c r="G18" s="13">
        <v>0.75</v>
      </c>
      <c r="H18" s="67">
        <f t="dataTable" ref="H18:M22" dt2D="1" dtr="1" r1="C5" r2="C10"/>
        <v>0.89999999999999991</v>
      </c>
      <c r="I18" s="68">
        <v>0.92999999999999983</v>
      </c>
      <c r="J18" s="68">
        <v>0.96</v>
      </c>
      <c r="K18" s="68">
        <v>0.99</v>
      </c>
      <c r="L18" s="68">
        <v>1.02</v>
      </c>
      <c r="M18" s="69">
        <v>1.05</v>
      </c>
      <c r="O18" s="7"/>
      <c r="P18" s="13">
        <v>0.6</v>
      </c>
      <c r="Q18" s="15">
        <f t="dataTable" ref="Q18:V22" dt2D="1" dtr="1" r1="C18" r2="C19" ca="1"/>
        <v>3.7199999999999997E-2</v>
      </c>
      <c r="R18" s="16">
        <v>5.7280645161290264E-2</v>
      </c>
      <c r="S18" s="16">
        <v>6.7320967741935397E-2</v>
      </c>
      <c r="T18" s="16">
        <v>7.7361290322580531E-2</v>
      </c>
      <c r="U18" s="16">
        <v>8.7401612903225664E-2</v>
      </c>
      <c r="V18" s="17">
        <v>9.7441935483871242E-2</v>
      </c>
    </row>
    <row r="19" spans="2:28" x14ac:dyDescent="0.35">
      <c r="B19" s="2" t="s">
        <v>79</v>
      </c>
      <c r="C19" s="91">
        <v>0.7</v>
      </c>
      <c r="G19" s="13">
        <v>0.8</v>
      </c>
      <c r="H19" s="70">
        <v>1.06</v>
      </c>
      <c r="I19" s="71">
        <v>1.0920000000000003</v>
      </c>
      <c r="J19" s="71">
        <v>1.1240000000000001</v>
      </c>
      <c r="K19" s="71">
        <v>1.1559999999999999</v>
      </c>
      <c r="L19" s="71">
        <v>1.1880000000000004</v>
      </c>
      <c r="M19" s="72">
        <v>1.2200000000000002</v>
      </c>
      <c r="O19" s="7"/>
      <c r="P19" s="13">
        <v>0.7</v>
      </c>
      <c r="Q19" s="18">
        <v>2.7900000000000012E-2</v>
      </c>
      <c r="R19" s="19">
        <v>4.7980645161290275E-2</v>
      </c>
      <c r="S19" s="19">
        <v>5.8020967741935409E-2</v>
      </c>
      <c r="T19" s="19">
        <v>6.8061290322580542E-2</v>
      </c>
      <c r="U19" s="19">
        <v>7.8101612903225676E-2</v>
      </c>
      <c r="V19" s="20">
        <v>8.8141935483871253E-2</v>
      </c>
    </row>
    <row r="20" spans="2:28" x14ac:dyDescent="0.35">
      <c r="B20" s="2" t="s">
        <v>98</v>
      </c>
      <c r="C20" s="99">
        <v>16</v>
      </c>
      <c r="E20" s="100" t="s">
        <v>80</v>
      </c>
      <c r="G20" s="13">
        <v>0.85</v>
      </c>
      <c r="H20" s="70">
        <v>1.2200000000000002</v>
      </c>
      <c r="I20" s="71">
        <v>1.2539999999999998</v>
      </c>
      <c r="J20" s="71">
        <v>1.2879999999999998</v>
      </c>
      <c r="K20" s="71">
        <v>1.3220000000000001</v>
      </c>
      <c r="L20" s="71">
        <v>1.3560000000000001</v>
      </c>
      <c r="M20" s="72">
        <v>1.3900000000000003</v>
      </c>
      <c r="P20" s="13">
        <v>0.8</v>
      </c>
      <c r="Q20" s="18">
        <v>1.8599999999999995E-2</v>
      </c>
      <c r="R20" s="19">
        <v>3.8680645161290259E-2</v>
      </c>
      <c r="S20" s="19">
        <v>4.8720967741935392E-2</v>
      </c>
      <c r="T20" s="19">
        <v>5.8761290322580526E-2</v>
      </c>
      <c r="U20" s="19">
        <v>6.8801612903225659E-2</v>
      </c>
      <c r="V20" s="20">
        <v>7.8841935483871237E-2</v>
      </c>
    </row>
    <row r="21" spans="2:28" x14ac:dyDescent="0.35">
      <c r="B21" s="116" t="s">
        <v>91</v>
      </c>
      <c r="C21" s="117">
        <f>1/C20</f>
        <v>6.25E-2</v>
      </c>
      <c r="E21" s="101">
        <f>(C6*C10-C13*C14-C17)/(1-C13)*(1-C11)</f>
        <v>6.25E-2</v>
      </c>
      <c r="G21" s="13">
        <v>0.9</v>
      </c>
      <c r="H21" s="70">
        <v>1.3800000000000003</v>
      </c>
      <c r="I21" s="71">
        <v>1.4160000000000001</v>
      </c>
      <c r="J21" s="71">
        <v>1.4520000000000002</v>
      </c>
      <c r="K21" s="71">
        <v>1.488</v>
      </c>
      <c r="L21" s="71">
        <v>1.524</v>
      </c>
      <c r="M21" s="72">
        <v>1.5600000000000005</v>
      </c>
      <c r="O21" s="7"/>
      <c r="P21" s="13">
        <v>0.9</v>
      </c>
      <c r="Q21" s="18">
        <v>9.3000000000000044E-3</v>
      </c>
      <c r="R21" s="19">
        <v>2.938064516129027E-2</v>
      </c>
      <c r="S21" s="19">
        <v>3.9420967741935403E-2</v>
      </c>
      <c r="T21" s="19">
        <v>4.9461290322580537E-2</v>
      </c>
      <c r="U21" s="19">
        <v>5.950161290322567E-2</v>
      </c>
      <c r="V21" s="20">
        <v>6.9541935483871248E-2</v>
      </c>
    </row>
    <row r="22" spans="2:28" x14ac:dyDescent="0.35">
      <c r="B22" s="2" t="s">
        <v>119</v>
      </c>
      <c r="C22" s="99">
        <v>16</v>
      </c>
      <c r="E22" s="101"/>
      <c r="G22" s="13">
        <v>0.95</v>
      </c>
      <c r="H22" s="73">
        <v>1.5399999999999998</v>
      </c>
      <c r="I22" s="74">
        <v>1.5780000000000001</v>
      </c>
      <c r="J22" s="74">
        <v>1.6160000000000001</v>
      </c>
      <c r="K22" s="74">
        <v>1.6540000000000001</v>
      </c>
      <c r="L22" s="74">
        <v>1.6919999999999997</v>
      </c>
      <c r="M22" s="75">
        <v>1.7299999999999998</v>
      </c>
      <c r="P22" s="13">
        <v>1</v>
      </c>
      <c r="Q22" s="21">
        <v>0</v>
      </c>
      <c r="R22" s="22">
        <v>2.0080645161290267E-2</v>
      </c>
      <c r="S22" s="22">
        <v>3.01209677419354E-2</v>
      </c>
      <c r="T22" s="22">
        <v>4.0161290322580534E-2</v>
      </c>
      <c r="U22" s="22">
        <v>5.0201612903225667E-2</v>
      </c>
      <c r="V22" s="23">
        <v>6.0241935483871245E-2</v>
      </c>
    </row>
    <row r="23" spans="2:28" x14ac:dyDescent="0.35">
      <c r="B23" s="109" t="s">
        <v>91</v>
      </c>
      <c r="C23" s="107">
        <f>1/C22</f>
        <v>6.25E-2</v>
      </c>
      <c r="E23" s="101"/>
      <c r="F23" s="25"/>
      <c r="O23" s="7"/>
    </row>
    <row r="24" spans="2:28" x14ac:dyDescent="0.35">
      <c r="B24" s="84"/>
      <c r="C24" s="78"/>
    </row>
    <row r="25" spans="2:28" ht="16" x14ac:dyDescent="0.4">
      <c r="B25" s="102" t="s">
        <v>89</v>
      </c>
    </row>
    <row r="26" spans="2:28" ht="18.5" x14ac:dyDescent="0.45">
      <c r="B26" s="1" t="s">
        <v>45</v>
      </c>
      <c r="C26" s="95">
        <f>(C5*C10-C12*C14-C16)/(1-C12)*(1-C11)</f>
        <v>9.2999999999999999E-2</v>
      </c>
      <c r="Q26" s="87" t="s">
        <v>115</v>
      </c>
      <c r="R26" s="87"/>
      <c r="S26" s="87"/>
      <c r="T26" s="87"/>
      <c r="U26" s="87"/>
      <c r="V26" s="87"/>
      <c r="W26" s="7"/>
    </row>
    <row r="27" spans="2:28" x14ac:dyDescent="0.35">
      <c r="B27" s="27" t="s">
        <v>90</v>
      </c>
      <c r="C27" s="110">
        <f>1/C26</f>
        <v>10.75268817204301</v>
      </c>
      <c r="Y27" s="139"/>
      <c r="Z27" s="139"/>
      <c r="AA27" s="139"/>
      <c r="AB27" s="139"/>
    </row>
    <row r="28" spans="2:28" x14ac:dyDescent="0.35">
      <c r="B28" s="106"/>
      <c r="C28" s="108"/>
      <c r="E28" s="101"/>
      <c r="Q28" s="35" t="s">
        <v>103</v>
      </c>
      <c r="R28" s="30" t="s">
        <v>104</v>
      </c>
      <c r="S28" s="30">
        <v>0</v>
      </c>
      <c r="T28" s="30">
        <v>1</v>
      </c>
      <c r="U28" s="30">
        <v>2</v>
      </c>
      <c r="V28" s="30">
        <v>3</v>
      </c>
      <c r="W28" s="30">
        <v>4</v>
      </c>
      <c r="X28" s="30">
        <v>5</v>
      </c>
      <c r="Y28" s="30" t="s">
        <v>112</v>
      </c>
      <c r="Z28" s="30" t="s">
        <v>108</v>
      </c>
    </row>
    <row r="29" spans="2:28" x14ac:dyDescent="0.35">
      <c r="B29" s="132" t="s">
        <v>121</v>
      </c>
      <c r="C29" s="133">
        <f>C20/C27</f>
        <v>1.488</v>
      </c>
      <c r="Q29" t="s">
        <v>8</v>
      </c>
      <c r="S29" s="124">
        <f>-1</f>
        <v>-1</v>
      </c>
      <c r="U29" s="29"/>
      <c r="V29" s="29"/>
      <c r="W29" s="29"/>
      <c r="X29" s="29"/>
    </row>
    <row r="30" spans="2:28" x14ac:dyDescent="0.35">
      <c r="B30" s="135" t="s">
        <v>122</v>
      </c>
      <c r="C30" s="136">
        <f>C22/C27</f>
        <v>1.488</v>
      </c>
      <c r="Q30" t="s">
        <v>14</v>
      </c>
      <c r="R30" s="119"/>
      <c r="S30" s="118"/>
      <c r="T30" s="120">
        <f>C38</f>
        <v>4.3749999999999997E-2</v>
      </c>
      <c r="U30" s="120">
        <f>T30*(1+$C$42+$C$44)</f>
        <v>4.8019012096774186E-2</v>
      </c>
      <c r="V30" s="120">
        <f>U30*(1+$C$42+$C$44)</f>
        <v>5.2704583377146189E-2</v>
      </c>
      <c r="W30" s="120">
        <f>V30*(1+$C$42+$C$44)</f>
        <v>5.7847360611260043E-2</v>
      </c>
      <c r="X30" s="120">
        <f>W30*(1+$C$42+$C$44)</f>
        <v>6.3491956776195541E-2</v>
      </c>
      <c r="Y30" s="55">
        <f>(T30/(1+R37))+(U30/(1+R37)^2)+(V30/(1+R37)^3)+(W30/(1+R37)^4)+(X30/(1+R37)^5)</f>
        <v>0.17752148200792195</v>
      </c>
      <c r="Z30" s="29">
        <f t="shared" ref="Z30:Z35" si="0">Y30/$Y$37</f>
        <v>0.17752148200792148</v>
      </c>
    </row>
    <row r="31" spans="2:28" x14ac:dyDescent="0.35">
      <c r="B31" s="10" t="s">
        <v>123</v>
      </c>
      <c r="C31" s="134">
        <f>C22/C20</f>
        <v>1</v>
      </c>
      <c r="Q31" t="s">
        <v>109</v>
      </c>
      <c r="R31" s="119"/>
      <c r="S31" s="118"/>
      <c r="T31" s="120"/>
      <c r="U31" s="120"/>
      <c r="V31" s="120"/>
      <c r="W31" s="120"/>
      <c r="X31" s="120">
        <f>((W30*(1+C42+C44)^2/C19/C21*C40/(C42+C44))/(W30*(1+C42+C44)^2/C19/C21*(C42+C44)/(C42+C44)))*(W30*(1+C42+C44)^2/C19/C21*(C42+C44)/(C42+C44)-1)</f>
        <v>0.24400890434094916</v>
      </c>
      <c r="Y31" s="55">
        <f>X31/(1+R37)^5</f>
        <v>0.12599532184379136</v>
      </c>
      <c r="Z31" s="29">
        <f t="shared" si="0"/>
        <v>0.12599532184379103</v>
      </c>
      <c r="AB31" s="7"/>
    </row>
    <row r="32" spans="2:28" x14ac:dyDescent="0.35">
      <c r="C32" s="3"/>
      <c r="Q32" t="s">
        <v>106</v>
      </c>
      <c r="R32" s="119"/>
      <c r="S32" s="118"/>
      <c r="T32" s="120"/>
      <c r="U32" s="120"/>
      <c r="V32" s="120"/>
      <c r="W32" s="120"/>
      <c r="X32" s="120">
        <f>((W30*(1+C42+C44)^2/C19/C21*C41/(C42+C44))/(W30*(1+C42+C44)^2/C19/C21*(C42+C44)/(C42+C44)))*(W30*(1+C42+C44)^2/C19/C21*(C42+C44)/(C42+C44)-1)</f>
        <v>0.16951269185902618</v>
      </c>
      <c r="Y32" s="55">
        <f>X32/(1+R37)^5</f>
        <v>8.7528798283289563E-2</v>
      </c>
      <c r="Z32" s="29">
        <f t="shared" si="0"/>
        <v>8.7528798283289327E-2</v>
      </c>
      <c r="AA32" s="55"/>
      <c r="AB32" s="29"/>
    </row>
    <row r="33" spans="2:30" x14ac:dyDescent="0.35">
      <c r="Q33" t="s">
        <v>107</v>
      </c>
      <c r="R33" s="119"/>
      <c r="S33" s="118"/>
      <c r="T33" s="120"/>
      <c r="U33" s="120"/>
      <c r="V33" s="120"/>
      <c r="W33" s="120"/>
      <c r="X33" s="120">
        <f>((W30*(1+C42+C44)^2/C19/C21*C44/(C42+C44))/(W30*(1+C42+C44)^2/C19/C21*(C42+C44)/(C42+C44)))*(W30*(1+C42+C44)^2/C19/C21*(C42+C44)/(C42+C44)-1)</f>
        <v>0.17933184535901139</v>
      </c>
      <c r="Y33" s="55">
        <f>X33/(1+R37)^5</f>
        <v>9.2598971475557804E-2</v>
      </c>
      <c r="Z33" s="29">
        <f t="shared" si="0"/>
        <v>9.2598971475557554E-2</v>
      </c>
      <c r="AA33" s="55"/>
      <c r="AB33" s="29"/>
    </row>
    <row r="34" spans="2:30" x14ac:dyDescent="0.35">
      <c r="Q34" t="s">
        <v>105</v>
      </c>
      <c r="R34" s="119"/>
      <c r="S34" s="118"/>
      <c r="T34" s="120"/>
      <c r="U34" s="120"/>
      <c r="V34" s="120"/>
      <c r="W34" s="120"/>
      <c r="X34" s="120">
        <f>C22/C20-1</f>
        <v>0</v>
      </c>
      <c r="Y34" s="55">
        <f>X34/(1+R37)^5</f>
        <v>0</v>
      </c>
      <c r="Z34" s="29">
        <f t="shared" si="0"/>
        <v>0</v>
      </c>
      <c r="AA34" s="55"/>
      <c r="AB34" s="29"/>
    </row>
    <row r="35" spans="2:30" x14ac:dyDescent="0.35">
      <c r="Q35" t="s">
        <v>111</v>
      </c>
      <c r="R35" s="119"/>
      <c r="S35" s="118"/>
      <c r="T35" s="120"/>
      <c r="U35" s="120"/>
      <c r="V35" s="120"/>
      <c r="W35" s="120"/>
      <c r="X35" s="120">
        <v>1</v>
      </c>
      <c r="Y35" s="55">
        <f>X35/(1+R37)^5</f>
        <v>0.51635542638944198</v>
      </c>
      <c r="Z35" s="29">
        <f t="shared" si="0"/>
        <v>0.51635542638944065</v>
      </c>
      <c r="AA35" s="55"/>
      <c r="AB35" s="55"/>
    </row>
    <row r="36" spans="2:30" ht="16" x14ac:dyDescent="0.4">
      <c r="B36" s="102" t="s">
        <v>110</v>
      </c>
      <c r="R36" s="119"/>
      <c r="S36" s="118"/>
      <c r="T36" s="121"/>
      <c r="U36" s="121"/>
      <c r="V36" s="121"/>
      <c r="W36" s="121"/>
      <c r="X36" s="121"/>
      <c r="Y36" s="55"/>
      <c r="Z36" s="7"/>
      <c r="AA36" s="55"/>
      <c r="AB36" s="55"/>
      <c r="AD36" s="8"/>
    </row>
    <row r="37" spans="2:30" ht="16" x14ac:dyDescent="0.4">
      <c r="B37" s="102"/>
      <c r="Q37" t="s">
        <v>118</v>
      </c>
      <c r="R37" s="122">
        <f>IRR(S37:X37)</f>
        <v>0.14132741935483795</v>
      </c>
      <c r="S37" s="118">
        <f>S29</f>
        <v>-1</v>
      </c>
      <c r="T37" s="121">
        <f>T30</f>
        <v>4.3749999999999997E-2</v>
      </c>
      <c r="U37" s="121">
        <f t="shared" ref="U37:W37" si="1">U30</f>
        <v>4.8019012096774186E-2</v>
      </c>
      <c r="V37" s="121">
        <f t="shared" si="1"/>
        <v>5.2704583377146189E-2</v>
      </c>
      <c r="W37" s="121">
        <f t="shared" si="1"/>
        <v>5.7847360611260043E-2</v>
      </c>
      <c r="X37" s="121">
        <f>X35+X30+X34+X33+X32+X31</f>
        <v>1.6563453983351824</v>
      </c>
      <c r="Y37" s="123">
        <f>SUM(Y30:Y35)</f>
        <v>1.0000000000000027</v>
      </c>
      <c r="Z37" s="8">
        <f>SUM(Z30:Z35)</f>
        <v>1</v>
      </c>
      <c r="AA37" s="55"/>
      <c r="AB37" s="55"/>
    </row>
    <row r="38" spans="2:30" x14ac:dyDescent="0.35">
      <c r="B38" s="79" t="s">
        <v>99</v>
      </c>
      <c r="C38" s="80">
        <f>1/C20*C19</f>
        <v>4.3749999999999997E-2</v>
      </c>
      <c r="AA38" s="55"/>
      <c r="AB38" s="55"/>
    </row>
    <row r="39" spans="2:30" x14ac:dyDescent="0.35">
      <c r="C39" s="3"/>
      <c r="Q39" s="125" t="s">
        <v>113</v>
      </c>
      <c r="R39" s="126">
        <f>IRR(S39:X39,0.1)</f>
        <v>0.14132741935483795</v>
      </c>
      <c r="S39" s="127">
        <f>-C38/C19/C21</f>
        <v>-1</v>
      </c>
      <c r="T39" s="128">
        <f>-S39*$C$38</f>
        <v>4.3749999999999997E-2</v>
      </c>
      <c r="U39" s="128">
        <f>T39*(1+C42+C44)</f>
        <v>4.8019012096774186E-2</v>
      </c>
      <c r="V39" s="128">
        <f>U39*(1+C42+C44)</f>
        <v>5.2704583377146189E-2</v>
      </c>
      <c r="W39" s="128">
        <f>V39*(1+C42+C44)</f>
        <v>5.7847360611260043E-2</v>
      </c>
      <c r="X39" s="128">
        <f>W39*(1+C42+C44)+W39*(1+C42+C44)^2/C19/C21+C46</f>
        <v>1.6563453983351824</v>
      </c>
      <c r="AB39" s="7"/>
      <c r="AC39" s="8"/>
    </row>
    <row r="40" spans="2:30" x14ac:dyDescent="0.35">
      <c r="B40" t="s">
        <v>96</v>
      </c>
      <c r="C40" s="76">
        <f>((((C5*(1+C18))*C10)-C12*C14-C16)-(((C5*(1+C18))*C10)-C12*C14-C16)*C11)/((C5*C10-C12*C14-C16)-(C5*C10-C12*C14-C16)*C11)-1</f>
        <v>4.0161290322580534E-2</v>
      </c>
      <c r="V40" s="85"/>
      <c r="X40" s="7"/>
    </row>
    <row r="41" spans="2:30" x14ac:dyDescent="0.35">
      <c r="B41" t="s">
        <v>97</v>
      </c>
      <c r="C41" s="76">
        <f>(((((C5*C10-C12*C14-C16-(C5*C10-C12*C14-C16)*C11)-((C5*C10-C12*C14-C16-(C5*C10-C12*C14-C16)*C11)*C19))/(1-C12)*C7)*C10)-(((C5*C10-C12*C14-C16-(C5*C10-C12*C14-C16)*C11)-((C5*C10-C12*C14-C16-(C5*C10-C12*C14-C16)*C11)*C19))/(1-C12)*C12*C15)-(((C5*C10-C12*C14-C16-(C5*C10-C12*C14-C16)*C11)-((C5*C10-C12*C14-C16-(C5*C10-C12*C14-C16)*C11)*C19))/(1-C12)*C16)-(((((C5*C10-C12*C14-C16-(C5*C10-C12*C14-C16)*C11)-((C5*C10-C12*C14-C16-(C5*C10-C12*C14-C16)*C11)*C19))/(1-C12)*C7)*C10-(((C5*C10-C12*C14-C16-(C5*C10-C12*C14-C16)*C11)-((C5*C10-C12*C14-C16-(C5*C10-C12*C14-C16)*C11)*C19))/(1-C12)*C12*C15)-(((C5*C10-C12*C14-C16-(C5*C10-C12*C14-C16)*C11)-((C5*C10-C12*C14-C16-(C5*C10-C12*C14-C16)*C11)*C19))/(1-C12)*C16))*C11))/((C5*C10-C12*C14-C16)-(C5*C10-C12*C14-C16)*C11)</f>
        <v>2.7900000000000012E-2</v>
      </c>
      <c r="Y41" s="8"/>
      <c r="AB41" s="7"/>
      <c r="AC41" s="7"/>
    </row>
    <row r="42" spans="2:30" x14ac:dyDescent="0.35">
      <c r="B42" s="79" t="s">
        <v>100</v>
      </c>
      <c r="C42" s="81">
        <f>C41+C40</f>
        <v>6.8061290322580542E-2</v>
      </c>
    </row>
    <row r="43" spans="2:30" x14ac:dyDescent="0.35">
      <c r="C43" s="3"/>
    </row>
    <row r="44" spans="2:30" x14ac:dyDescent="0.35">
      <c r="B44" s="79" t="s">
        <v>101</v>
      </c>
      <c r="C44" s="80">
        <f>IF(C8&gt;0,(((1-C12)*C8/(1-C12)*((1-C12)*C8/(1-C12))*C7/(((1-C12)*C8/(1-C12))+(1-C12)*C8*C9)*C10-((1-C12)*C8/(1-C12)*C12*C15)-((1-C12)*C8/(1-C12)*C16)-(((1-C12)*C8/(1-C12)*((1-C12)*C8/(1-C12))*C7/(((1-C12)*C8/(1-C12))+(1-C12)*C8*C9)*C10-((1-C12)*C8/(1-C12)*C12*C15)-((1-C12)*C8/(1-C12)*C16))*C11)-((1-C12)*C8*1/C20))*(1-C8))/((C5*C10-C12*C14-C16)-((C5*C10-C12*C14-C16)*C11)),0)</f>
        <v>2.951612903225808E-2</v>
      </c>
    </row>
    <row r="45" spans="2:30" ht="18.5" x14ac:dyDescent="0.45">
      <c r="Q45" s="87" t="s">
        <v>116</v>
      </c>
      <c r="R45" s="87"/>
      <c r="S45" s="87"/>
      <c r="T45" s="87"/>
      <c r="U45" s="87"/>
      <c r="V45" s="87"/>
    </row>
    <row r="46" spans="2:30" x14ac:dyDescent="0.35">
      <c r="B46" s="79" t="s">
        <v>102</v>
      </c>
      <c r="C46" s="80">
        <f>C22/C20-1</f>
        <v>0</v>
      </c>
      <c r="G46" s="93"/>
      <c r="J46" s="7"/>
    </row>
    <row r="47" spans="2:30" x14ac:dyDescent="0.35">
      <c r="G47" s="92"/>
      <c r="Q47" s="35" t="s">
        <v>103</v>
      </c>
      <c r="R47" s="30" t="s">
        <v>104</v>
      </c>
      <c r="S47" s="30">
        <v>0</v>
      </c>
      <c r="T47" s="30">
        <v>1</v>
      </c>
      <c r="U47" s="30">
        <v>2</v>
      </c>
      <c r="V47" s="30">
        <v>3</v>
      </c>
      <c r="W47" s="30" t="s">
        <v>112</v>
      </c>
      <c r="X47" s="30" t="s">
        <v>108</v>
      </c>
    </row>
    <row r="48" spans="2:30" ht="15" thickBot="1" x14ac:dyDescent="0.4">
      <c r="B48" s="82" t="s">
        <v>46</v>
      </c>
      <c r="C48" s="83">
        <f>C38+C42+C44+C46</f>
        <v>0.14132741935483861</v>
      </c>
      <c r="G48" s="29"/>
      <c r="Q48" t="s">
        <v>8</v>
      </c>
      <c r="S48" s="124">
        <f>-1</f>
        <v>-1</v>
      </c>
      <c r="U48" s="29"/>
      <c r="V48" s="29"/>
    </row>
    <row r="49" spans="2:24" ht="15" thickTop="1" x14ac:dyDescent="0.35">
      <c r="B49" s="85"/>
      <c r="Q49" t="s">
        <v>14</v>
      </c>
      <c r="R49" s="119"/>
      <c r="S49" s="118"/>
      <c r="T49" s="120">
        <f>C38</f>
        <v>4.3749999999999997E-2</v>
      </c>
      <c r="U49" s="120">
        <f>T49*(1+$C$42+$C$44)</f>
        <v>4.8019012096774186E-2</v>
      </c>
      <c r="V49" s="120">
        <f>U49*(1+$C$42+$C$44)</f>
        <v>5.2704583377146189E-2</v>
      </c>
      <c r="W49" s="55">
        <f>(T49/(1+R56))+(U49/(1+R56)^2)+(V49/(1+R56)^3)</f>
        <v>0.11064584549492998</v>
      </c>
      <c r="X49" s="29">
        <f t="shared" ref="X49:X54" si="2">W49/$Y$37</f>
        <v>0.11064584549492969</v>
      </c>
    </row>
    <row r="50" spans="2:24" ht="18.5" x14ac:dyDescent="0.45">
      <c r="B50" s="87" t="s">
        <v>92</v>
      </c>
      <c r="H50" s="55"/>
      <c r="K50" s="29"/>
      <c r="Q50" t="s">
        <v>109</v>
      </c>
      <c r="R50" s="119"/>
      <c r="S50" s="118"/>
      <c r="T50" s="120"/>
      <c r="U50" s="120"/>
      <c r="V50" s="120">
        <f>((U49*(1+C42+C44)^2/C19/C21*C40/(C42+C44))/(U49*(1+C42+C44)^2/C19/C21*(C42+C44)/(C42+C44)))*(U49*(1+C42+C44)^2/C19/C21*(C42+C44)/(C42+C44)-1)</f>
        <v>0.13262276598343259</v>
      </c>
      <c r="W50" s="55">
        <f>V50/(1+R56)^3</f>
        <v>8.9204616106218701E-2</v>
      </c>
      <c r="X50" s="29">
        <f t="shared" si="2"/>
        <v>8.9204616106218465E-2</v>
      </c>
    </row>
    <row r="51" spans="2:24" x14ac:dyDescent="0.35">
      <c r="H51" s="29"/>
      <c r="Q51" t="s">
        <v>106</v>
      </c>
      <c r="R51" s="119"/>
      <c r="S51" s="118"/>
      <c r="T51" s="120"/>
      <c r="U51" s="120"/>
      <c r="V51" s="120">
        <f>((U49*(1+C42+C44)^2/C19/C21*C41/(C42+C44))/(U49*(1+C42+C44)^2/C19/C21*(C42+C44)/(C42+C44)))*(U49*(1+C42+C44)^2/C19/C21*(C42+C44)/(C42+C44)-1)</f>
        <v>9.2132875742225867E-2</v>
      </c>
      <c r="W51" s="55">
        <f>V51/(1+R56)^3</f>
        <v>6.1970339333549229E-2</v>
      </c>
      <c r="X51" s="29">
        <f t="shared" si="2"/>
        <v>6.1970339333549063E-2</v>
      </c>
    </row>
    <row r="52" spans="2:24" x14ac:dyDescent="0.35">
      <c r="B52" s="85"/>
      <c r="Q52" t="s">
        <v>107</v>
      </c>
      <c r="R52" s="119"/>
      <c r="S52" s="118"/>
      <c r="T52" s="120"/>
      <c r="U52" s="120"/>
      <c r="V52" s="120">
        <f>((U49*(1+C42+C44)^2/C19/C21*C44/(C42+C44))/(U49*(1+C42+C44)^2/C19/C21*(C42+C44)/(C42+C44)))*(U49*(1+C42+C44)^2/C19/C21*(C42+C44)/(C42+C44)-1)</f>
        <v>9.7469743674571271E-2</v>
      </c>
      <c r="W52" s="55">
        <f>V52/(1+R56)^3</f>
        <v>6.556001906601637E-2</v>
      </c>
      <c r="X52" s="29">
        <f t="shared" si="2"/>
        <v>6.556001906601619E-2</v>
      </c>
    </row>
    <row r="53" spans="2:24" x14ac:dyDescent="0.35">
      <c r="Q53" t="s">
        <v>105</v>
      </c>
      <c r="R53" s="119"/>
      <c r="S53" s="118"/>
      <c r="T53" s="120"/>
      <c r="U53" s="120"/>
      <c r="V53" s="120">
        <f>C22/C20-1</f>
        <v>0</v>
      </c>
      <c r="W53" s="55">
        <f>V53/(1+R56)^3</f>
        <v>0</v>
      </c>
      <c r="X53" s="29">
        <f t="shared" si="2"/>
        <v>0</v>
      </c>
    </row>
    <row r="54" spans="2:24" x14ac:dyDescent="0.35">
      <c r="B54" s="85"/>
      <c r="Q54" t="s">
        <v>111</v>
      </c>
      <c r="R54" s="119"/>
      <c r="S54" s="118"/>
      <c r="T54" s="120"/>
      <c r="U54" s="120"/>
      <c r="V54" s="120">
        <v>1</v>
      </c>
      <c r="W54" s="55">
        <f>V54/(1+R56)^3</f>
        <v>0.6726191800083724</v>
      </c>
      <c r="X54" s="29">
        <f t="shared" si="2"/>
        <v>0.67261918000837062</v>
      </c>
    </row>
    <row r="55" spans="2:24" x14ac:dyDescent="0.35">
      <c r="B55" s="85"/>
    </row>
    <row r="56" spans="2:24" x14ac:dyDescent="0.35">
      <c r="B56" s="85"/>
      <c r="Q56" t="s">
        <v>117</v>
      </c>
      <c r="R56" s="130">
        <f>IRR(S56:V56)</f>
        <v>0.14132741935124571</v>
      </c>
      <c r="S56" s="7">
        <f>SUM(S48:S54)</f>
        <v>-1</v>
      </c>
      <c r="T56" s="7">
        <f t="shared" ref="T56:V56" si="3">SUM(T48:T54)</f>
        <v>4.3749999999999997E-2</v>
      </c>
      <c r="U56" s="7">
        <f t="shared" si="3"/>
        <v>4.8019012096774186E-2</v>
      </c>
      <c r="V56" s="7">
        <f t="shared" si="3"/>
        <v>1.3749299687773759</v>
      </c>
      <c r="W56" s="129">
        <f>SUM(W49:W54)</f>
        <v>1.0000000000090867</v>
      </c>
      <c r="X56" s="8">
        <f>SUM(X49:X54)</f>
        <v>1.0000000000090841</v>
      </c>
    </row>
    <row r="57" spans="2:24" x14ac:dyDescent="0.35">
      <c r="B57" s="85"/>
    </row>
    <row r="58" spans="2:24" x14ac:dyDescent="0.35">
      <c r="Q58" s="125" t="s">
        <v>113</v>
      </c>
      <c r="R58" s="126">
        <f>IRR(S58:V58,0.1)</f>
        <v>0.14132741935124571</v>
      </c>
      <c r="S58" s="127">
        <f>-C38/C19/C21</f>
        <v>-1</v>
      </c>
      <c r="T58" s="128">
        <f>-S58*$C$38</f>
        <v>4.3749999999999997E-2</v>
      </c>
      <c r="U58" s="128">
        <f>T58*(1+C42+C44)</f>
        <v>4.8019012096774186E-2</v>
      </c>
      <c r="V58" s="128">
        <f>U58*(1+C42+C44)+U58*(1+C42+C44)^2/C19/C21+C46</f>
        <v>1.3749299687773759</v>
      </c>
    </row>
    <row r="59" spans="2:24" x14ac:dyDescent="0.35">
      <c r="D59" s="29"/>
    </row>
    <row r="60" spans="2:24" x14ac:dyDescent="0.35">
      <c r="D60" s="29"/>
    </row>
    <row r="61" spans="2:24" ht="16" x14ac:dyDescent="0.4">
      <c r="B61" s="86"/>
      <c r="C61" s="29"/>
    </row>
    <row r="62" spans="2:24" ht="16" x14ac:dyDescent="0.4">
      <c r="B62" s="88"/>
      <c r="C62" s="29"/>
    </row>
    <row r="63" spans="2:24" ht="18.5" x14ac:dyDescent="0.45">
      <c r="B63" s="87"/>
    </row>
    <row r="64" spans="2:24" x14ac:dyDescent="0.35">
      <c r="B64" s="85"/>
    </row>
    <row r="65" spans="2:13" x14ac:dyDescent="0.35">
      <c r="B65" s="85"/>
    </row>
    <row r="66" spans="2:13" x14ac:dyDescent="0.35">
      <c r="B66" s="85"/>
    </row>
    <row r="67" spans="2:13" x14ac:dyDescent="0.35">
      <c r="B67" s="85"/>
    </row>
    <row r="70" spans="2:13" x14ac:dyDescent="0.35">
      <c r="H70" s="8"/>
      <c r="I70" s="8"/>
      <c r="J70" s="8"/>
      <c r="K70" s="8"/>
      <c r="L70" s="8"/>
      <c r="M70" s="8"/>
    </row>
    <row r="72" spans="2:13" ht="16" x14ac:dyDescent="0.4">
      <c r="B72" s="86"/>
    </row>
    <row r="74" spans="2:13" x14ac:dyDescent="0.35">
      <c r="B74" s="85"/>
    </row>
    <row r="75" spans="2:13" x14ac:dyDescent="0.35">
      <c r="B75" s="85"/>
    </row>
    <row r="78" spans="2:13" x14ac:dyDescent="0.35">
      <c r="B78" s="85"/>
    </row>
  </sheetData>
  <mergeCells count="9">
    <mergeCell ref="Y27:AB27"/>
    <mergeCell ref="Q6:V6"/>
    <mergeCell ref="H6:M6"/>
    <mergeCell ref="H7:M7"/>
    <mergeCell ref="Q16:V16"/>
    <mergeCell ref="Q7:V7"/>
    <mergeCell ref="Q15:V15"/>
    <mergeCell ref="H15:M15"/>
    <mergeCell ref="H16:M16"/>
  </mergeCells>
  <conditionalFormatting sqref="H9:M13">
    <cfRule type="cellIs" dxfId="6" priority="9" operator="equal">
      <formula>0</formula>
    </cfRule>
    <cfRule type="cellIs" dxfId="5" priority="10" operator="equal">
      <formula>0</formula>
    </cfRule>
  </conditionalFormatting>
  <conditionalFormatting sqref="H18:M22">
    <cfRule type="cellIs" dxfId="4" priority="4" operator="lessThan">
      <formula>1</formula>
    </cfRule>
    <cfRule type="cellIs" dxfId="3" priority="5" operator="equal">
      <formula>0</formula>
    </cfRule>
    <cfRule type="cellIs" dxfId="2" priority="6" operator="equal">
      <formula>0</formula>
    </cfRule>
  </conditionalFormatting>
  <conditionalFormatting sqref="Q9:V13">
    <cfRule type="cellIs" dxfId="1" priority="11" operator="equal">
      <formula>0</formula>
    </cfRule>
    <cfRule type="cellIs" dxfId="0" priority="12" operator="equal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BC4A-9652-48AA-BE8F-5D4F1777F24F}">
  <dimension ref="B1:J42"/>
  <sheetViews>
    <sheetView showGridLines="0" zoomScale="120" zoomScaleNormal="120" workbookViewId="0">
      <selection activeCell="F12" sqref="F12"/>
    </sheetView>
  </sheetViews>
  <sheetFormatPr defaultRowHeight="14.5" x14ac:dyDescent="0.35"/>
  <cols>
    <col min="2" max="2" width="33.1796875" customWidth="1"/>
    <col min="3" max="3" width="10.54296875" bestFit="1" customWidth="1"/>
    <col min="5" max="5" width="25.54296875" customWidth="1"/>
    <col min="6" max="9" width="12.54296875" customWidth="1"/>
    <col min="10" max="10" width="20.08984375" bestFit="1" customWidth="1"/>
    <col min="11" max="11" width="41.81640625" customWidth="1"/>
  </cols>
  <sheetData>
    <row r="1" spans="2:10" ht="28.5" x14ac:dyDescent="0.65">
      <c r="B1" s="14" t="s">
        <v>57</v>
      </c>
    </row>
    <row r="3" spans="2:10" x14ac:dyDescent="0.35">
      <c r="B3" s="25" t="s">
        <v>35</v>
      </c>
      <c r="E3" s="111" t="s">
        <v>93</v>
      </c>
      <c r="H3" s="140" t="s">
        <v>42</v>
      </c>
      <c r="I3" s="141"/>
    </row>
    <row r="4" spans="2:10" x14ac:dyDescent="0.35">
      <c r="B4" s="1" t="s">
        <v>62</v>
      </c>
      <c r="C4" s="95">
        <f>'Simple Model'!C5</f>
        <v>8.3000000000000004E-2</v>
      </c>
      <c r="F4" s="30" t="s">
        <v>10</v>
      </c>
      <c r="G4" s="30" t="s">
        <v>11</v>
      </c>
      <c r="H4" s="57" t="s">
        <v>10</v>
      </c>
      <c r="I4" s="58" t="s">
        <v>11</v>
      </c>
    </row>
    <row r="5" spans="2:10" x14ac:dyDescent="0.35">
      <c r="B5" s="2" t="s">
        <v>84</v>
      </c>
      <c r="C5" s="96">
        <f>'Simple Model'!C6</f>
        <v>6.9444444444444448E-2</v>
      </c>
      <c r="E5" t="s">
        <v>38</v>
      </c>
      <c r="F5" s="31">
        <f>C23*C4</f>
        <v>83</v>
      </c>
      <c r="G5" s="31">
        <f>F5*(1+C17)</f>
        <v>84.66</v>
      </c>
      <c r="H5" s="59">
        <f>C23*C4</f>
        <v>83</v>
      </c>
      <c r="I5" s="60">
        <f>C23*C4*(1+C17)</f>
        <v>84.66</v>
      </c>
      <c r="J5" s="31"/>
    </row>
    <row r="6" spans="2:10" x14ac:dyDescent="0.35">
      <c r="B6" s="2" t="s">
        <v>63</v>
      </c>
      <c r="C6" s="96">
        <f>'Simple Model'!C7</f>
        <v>8.3000000000000004E-2</v>
      </c>
      <c r="E6" t="s">
        <v>39</v>
      </c>
      <c r="G6" s="7"/>
      <c r="H6" s="61"/>
      <c r="I6" s="62"/>
      <c r="J6" s="7"/>
    </row>
    <row r="7" spans="2:10" x14ac:dyDescent="0.35">
      <c r="B7" s="2" t="s">
        <v>64</v>
      </c>
      <c r="C7" s="96">
        <f>'Simple Model'!C8</f>
        <v>0.1</v>
      </c>
      <c r="E7" t="s">
        <v>12</v>
      </c>
      <c r="F7" s="7">
        <f>F5*C9</f>
        <v>74.7</v>
      </c>
      <c r="G7" s="7">
        <f>G5*C9</f>
        <v>76.194000000000003</v>
      </c>
      <c r="H7" s="61">
        <f>C23*C4*C9</f>
        <v>74.7</v>
      </c>
      <c r="I7" s="62">
        <f>((C23*C4*(1+C17))*C9)</f>
        <v>76.194000000000003</v>
      </c>
      <c r="J7" s="7"/>
    </row>
    <row r="8" spans="2:10" x14ac:dyDescent="0.35">
      <c r="B8" s="2" t="s">
        <v>65</v>
      </c>
      <c r="C8" s="96">
        <f>'Simple Model'!C9</f>
        <v>0</v>
      </c>
      <c r="E8" t="s">
        <v>13</v>
      </c>
      <c r="F8" s="7">
        <f>C23*C11*C13</f>
        <v>37.5</v>
      </c>
      <c r="G8" s="7">
        <f>F8</f>
        <v>37.5</v>
      </c>
      <c r="H8" s="61">
        <f>C23*C11*C13</f>
        <v>37.5</v>
      </c>
      <c r="I8" s="62">
        <f>C23*C11*C13</f>
        <v>37.5</v>
      </c>
    </row>
    <row r="9" spans="2:10" x14ac:dyDescent="0.35">
      <c r="B9" s="2" t="s">
        <v>66</v>
      </c>
      <c r="C9" s="96">
        <f>'Simple Model'!C10</f>
        <v>0.9</v>
      </c>
      <c r="E9" t="s">
        <v>16</v>
      </c>
      <c r="G9" s="7"/>
      <c r="H9" s="61"/>
      <c r="I9" s="62"/>
      <c r="J9" s="7"/>
    </row>
    <row r="10" spans="2:10" x14ac:dyDescent="0.35">
      <c r="B10" s="2" t="s">
        <v>67</v>
      </c>
      <c r="C10" s="96">
        <f>'Simple Model'!C11</f>
        <v>0</v>
      </c>
      <c r="E10" t="s">
        <v>30</v>
      </c>
      <c r="F10" s="7">
        <f>C23*C15</f>
        <v>0</v>
      </c>
      <c r="G10" s="7">
        <f>C23*C15</f>
        <v>0</v>
      </c>
      <c r="H10" s="61">
        <f>C23*C15</f>
        <v>0</v>
      </c>
      <c r="I10" s="62">
        <f>C23*C15</f>
        <v>0</v>
      </c>
      <c r="J10" s="7"/>
    </row>
    <row r="11" spans="2:10" x14ac:dyDescent="0.35">
      <c r="B11" s="2" t="s">
        <v>68</v>
      </c>
      <c r="C11" s="96">
        <f>'Simple Model'!C12</f>
        <v>0.6</v>
      </c>
      <c r="E11" t="s">
        <v>28</v>
      </c>
      <c r="F11" s="7">
        <f>(F7-F8-F9-F10)*C10</f>
        <v>0</v>
      </c>
      <c r="G11" s="7">
        <f>(G7-G8-G9-G10)*C10</f>
        <v>0</v>
      </c>
      <c r="H11" s="61">
        <f>(C23*C4*C9-C23*C11*C13-C23*C15)*C10</f>
        <v>0</v>
      </c>
      <c r="I11" s="62">
        <f>(((C23*C4*(1+C17))*C9)-C23*C11*C13-C23*C15)*C10</f>
        <v>0</v>
      </c>
      <c r="J11" s="7"/>
    </row>
    <row r="12" spans="2:10" ht="15" thickBot="1" x14ac:dyDescent="0.4">
      <c r="B12" s="94" t="s">
        <v>72</v>
      </c>
      <c r="C12" s="96">
        <f>'Simple Model'!C13</f>
        <v>0.50200803212851397</v>
      </c>
      <c r="E12" s="33" t="s">
        <v>29</v>
      </c>
      <c r="F12" s="53">
        <f>F7-F8-F11-F10</f>
        <v>37.200000000000003</v>
      </c>
      <c r="G12" s="53">
        <f>G7-G8-G9-G11-G10</f>
        <v>38.694000000000003</v>
      </c>
      <c r="H12" s="63">
        <f>(C23*C4*C9-C23*C11*C13-C23*C15)-(C23*C4*C9-C23*C11*C13-C23*C15)*C10</f>
        <v>37.200000000000003</v>
      </c>
      <c r="I12" s="64">
        <f>(((C23*C4*(1+C17))*C9)-C23*C11*C13-C23*C15)-(((C23*C4*(1+C17))*C9)-C23*C11*C13-C23*C15)*C10</f>
        <v>38.694000000000003</v>
      </c>
      <c r="J12" s="7"/>
    </row>
    <row r="13" spans="2:10" ht="15" thickTop="1" x14ac:dyDescent="0.35">
      <c r="B13" s="2" t="s">
        <v>69</v>
      </c>
      <c r="C13" s="96">
        <f>'Simple Model'!C14</f>
        <v>6.25E-2</v>
      </c>
      <c r="H13" s="61"/>
      <c r="I13" s="65"/>
    </row>
    <row r="14" spans="2:10" x14ac:dyDescent="0.35">
      <c r="B14" s="2" t="s">
        <v>71</v>
      </c>
      <c r="C14" s="96">
        <f>'Simple Model'!C15</f>
        <v>6.25E-2</v>
      </c>
      <c r="E14" t="s">
        <v>14</v>
      </c>
      <c r="F14" s="7">
        <f>F12*C18</f>
        <v>26.04</v>
      </c>
      <c r="H14" s="59">
        <f>(C23*C5*C9-C23*C11*C13-C23*C15-(C23*C5*C9-C23*C11*C13-C23*C15)*C10)*C18</f>
        <v>17.5</v>
      </c>
      <c r="I14" s="65"/>
    </row>
    <row r="15" spans="2:10" x14ac:dyDescent="0.35">
      <c r="B15" s="2" t="s">
        <v>47</v>
      </c>
      <c r="C15" s="96">
        <f>'Simple Model'!C16</f>
        <v>0</v>
      </c>
      <c r="E15" t="s">
        <v>15</v>
      </c>
      <c r="F15" s="7">
        <f>F12-F14</f>
        <v>11.160000000000004</v>
      </c>
      <c r="H15" s="59">
        <f>(C23*C5*C9-C23*C11*C13-C23*C15-(C23*C5*C9-C23*C11*C13-C23*C15)*C10)-((C23*C5*C9-C23*C11*C13-C23*C15-(C23*C5*C9-C23*C11*C13-C23*C15)*C10)*C18)</f>
        <v>7.5</v>
      </c>
      <c r="I15" s="65"/>
    </row>
    <row r="16" spans="2:10" x14ac:dyDescent="0.35">
      <c r="B16" s="94" t="s">
        <v>60</v>
      </c>
      <c r="C16" s="96">
        <f>'Simple Model'!C17</f>
        <v>0</v>
      </c>
      <c r="H16" s="2"/>
      <c r="I16" s="65"/>
    </row>
    <row r="17" spans="2:10" x14ac:dyDescent="0.35">
      <c r="B17" s="2" t="s">
        <v>70</v>
      </c>
      <c r="C17" s="96">
        <f>'Simple Model'!C18</f>
        <v>0.02</v>
      </c>
      <c r="E17" s="9" t="s">
        <v>43</v>
      </c>
      <c r="F17" s="9"/>
      <c r="G17" s="56">
        <f>G12/F12-1</f>
        <v>4.0161290322580534E-2</v>
      </c>
      <c r="H17" s="10"/>
      <c r="I17" s="11">
        <f>((((C23*C4*(1+C17))*C9)-C23*C11*C13-C23*C15)-(((C23*C4*(1+C17))*C9)-C23*C11*C13-C23*C15)*C10)/((C23*C4*C9-C23*C11*C13-C23*C15)-(C23*C4*C9-C23*C11*C13-C23*C15)*C10)-1</f>
        <v>4.0161290322580534E-2</v>
      </c>
    </row>
    <row r="18" spans="2:10" x14ac:dyDescent="0.35">
      <c r="B18" s="2" t="s">
        <v>50</v>
      </c>
      <c r="C18" s="96">
        <f>'Simple Model'!C19</f>
        <v>0.7</v>
      </c>
    </row>
    <row r="19" spans="2:10" x14ac:dyDescent="0.35">
      <c r="B19" s="2" t="s">
        <v>85</v>
      </c>
      <c r="C19" s="97">
        <f>'Simple Model'!C20</f>
        <v>16</v>
      </c>
      <c r="I19" s="43"/>
    </row>
    <row r="20" spans="2:10" x14ac:dyDescent="0.35">
      <c r="B20" s="27" t="s">
        <v>86</v>
      </c>
      <c r="C20" s="98">
        <f>1/C19</f>
        <v>6.25E-2</v>
      </c>
      <c r="H20" s="25" t="s">
        <v>21</v>
      </c>
      <c r="I20" s="89">
        <f>((((C4*(1+C17))*C9)-C11*C13-C15)-(((C4*(1+C17))*C9)-C11*C13-C15)*C10)/((C4*C9-C11*C13-C15)-(C4*C9-C11*C13-C15)*C10)-1</f>
        <v>4.0161290322580534E-2</v>
      </c>
      <c r="J20" s="42"/>
    </row>
    <row r="22" spans="2:10" x14ac:dyDescent="0.35">
      <c r="B22" s="35" t="s">
        <v>9</v>
      </c>
      <c r="C22" s="35"/>
    </row>
    <row r="23" spans="2:10" x14ac:dyDescent="0.35">
      <c r="B23" t="s">
        <v>8</v>
      </c>
      <c r="C23" s="34">
        <v>1000</v>
      </c>
      <c r="E23" s="111" t="s">
        <v>94</v>
      </c>
      <c r="H23" s="140" t="s">
        <v>42</v>
      </c>
      <c r="I23" s="141"/>
    </row>
    <row r="24" spans="2:10" x14ac:dyDescent="0.35">
      <c r="F24" s="30" t="s">
        <v>10</v>
      </c>
      <c r="G24" s="30" t="s">
        <v>11</v>
      </c>
      <c r="H24" s="57" t="s">
        <v>10</v>
      </c>
      <c r="I24" s="58" t="s">
        <v>11</v>
      </c>
    </row>
    <row r="25" spans="2:10" x14ac:dyDescent="0.35">
      <c r="E25" t="s">
        <v>38</v>
      </c>
      <c r="F25" s="31"/>
      <c r="G25" s="31"/>
      <c r="H25" s="59"/>
      <c r="I25" s="60"/>
    </row>
    <row r="26" spans="2:10" x14ac:dyDescent="0.35">
      <c r="E26" t="s">
        <v>39</v>
      </c>
      <c r="G26" s="7">
        <f>F15/(1-C11)*C6</f>
        <v>2.315700000000001</v>
      </c>
      <c r="H26" s="61"/>
      <c r="I26" s="62">
        <f>((C23*C4*C9-C23*C11*C13-C23*C15-(C23*C4*C9-C23*C11*C13-C23*C15)*C10)-((C23*C4*C9-C23*C11*C13-C23*C15-(C23*C4*C9-C23*C11*C13-C23*C15)*C10)*C18))/(1-C11)*C6</f>
        <v>2.315700000000001</v>
      </c>
    </row>
    <row r="27" spans="2:10" x14ac:dyDescent="0.35">
      <c r="E27" t="s">
        <v>12</v>
      </c>
      <c r="F27" s="7"/>
      <c r="G27" s="7">
        <f>(G26)*C9</f>
        <v>2.0841300000000009</v>
      </c>
      <c r="H27" s="61"/>
      <c r="I27" s="62">
        <f>(((C23*C4*C9-C23*C11*C13-C23*C15-(C23*C4*C9-C23*C11*C13-C23*C15)*C10)-((C23*C4*C9-C23*C11*C13-C23*C15-(C23*C4*C9-C23*C11*C13-C23*C15)*C10)*C18))/(1-C11)*C6)*C9</f>
        <v>2.0841300000000009</v>
      </c>
    </row>
    <row r="28" spans="2:10" x14ac:dyDescent="0.35">
      <c r="E28" t="s">
        <v>13</v>
      </c>
      <c r="F28" s="7"/>
      <c r="G28" s="7"/>
      <c r="H28" s="61"/>
      <c r="I28" s="62"/>
    </row>
    <row r="29" spans="2:10" x14ac:dyDescent="0.35">
      <c r="E29" t="s">
        <v>16</v>
      </c>
      <c r="G29" s="7">
        <f>F15/(1-C11)*C11*C14</f>
        <v>1.0462500000000003</v>
      </c>
      <c r="H29" s="61"/>
      <c r="I29" s="62">
        <f>((C23*C4*C9-C23*C11*C13-C23*C15-(C23*C4*C9-C23*C11*C13-C23*C15)*C10)-((C23*C4*C9-C23*C11*C13-C23*C15-(C23*C4*C9-C23*C11*C13-C23*C15)*C10)*C18))/(1-C11)*C11*C14</f>
        <v>1.0462500000000003</v>
      </c>
    </row>
    <row r="30" spans="2:10" x14ac:dyDescent="0.35">
      <c r="E30" t="s">
        <v>30</v>
      </c>
      <c r="F30" s="7"/>
      <c r="G30" s="7">
        <f>F15/(1-C11)*C15</f>
        <v>0</v>
      </c>
      <c r="H30" s="61"/>
      <c r="I30" s="62">
        <f>((C23*C4*C9-C23*C11*C13-C23*C15-(C23*C4*C9-C23*C11*C13-C23*C15)*C10)-((C23*C4*C9-C23*C11*C13-C23*C15-(C23*C4*C9-C23*C11*C13-C23*C15)*C10)*C18))/(1-C11)*C15</f>
        <v>0</v>
      </c>
    </row>
    <row r="31" spans="2:10" x14ac:dyDescent="0.35">
      <c r="E31" t="s">
        <v>28</v>
      </c>
      <c r="F31" s="7"/>
      <c r="G31" s="7">
        <f>(G27-G28-G29-G30)*C10</f>
        <v>0</v>
      </c>
      <c r="H31" s="61"/>
      <c r="I31" s="62">
        <f>((((C23*C4*C9-C23*C11*C13-C23*C15-(C23*C4*C9-C23*C11*C13-C23*C15)*C10)-((C23*C4*C9-C23*C11*C13-C23*C15-(C23*C4*C9-C23*C11*C13-C23*C15)*C10)*C18))/(1-C11)*C6)*C9-(((C23*C4*C9-C23*C11*C13-C23*C15-(C23*C4*C9-C23*C11*C13-C23*C15)*C10)-((C23*C4*C9-C23*C11*C13-C23*C15-(C23*C4*C9-C23*C11*C13-C23*C15)*C10)*C18))/(1-C11)*C11*C14)-(((C23*C4*C9-C23*C11*C13-C23*C15-(C23*C4*C9-C23*C11*C13-C23*C15)*C10)-((C23*C4*C9-C23*C11*C13-C23*C15-(C23*C4*C9-C23*C11*C13-C23*C15)*C10)*C18))/(1-C11)*C15))*C10</f>
        <v>0</v>
      </c>
    </row>
    <row r="32" spans="2:10" ht="15" thickBot="1" x14ac:dyDescent="0.4">
      <c r="E32" s="33" t="s">
        <v>29</v>
      </c>
      <c r="F32" s="53"/>
      <c r="G32" s="53">
        <f>G27-G28-G29-G31-G30</f>
        <v>1.0378800000000006</v>
      </c>
      <c r="H32" s="63"/>
      <c r="I32" s="64">
        <f>((((C23*C4*C9-C23*C11*C13-C23*C15-(C23*C4*C9-C23*C11*C13-C23*C15)*C10)-((C23*C4*C9-C23*C11*C13-C23*C15-(C23*C4*C9-C23*C11*C13-C23*C15)*C10)*C18))/(1-C11)*C6)*C9)-(((C23*C4*C9-C23*C11*C13-C23*C15-(C23*C4*C9-C23*C11*C13-C23*C15)*C10)-((C23*C4*C9-C23*C11*C13-C23*C15-(C23*C4*C9-C23*C11*C13-C23*C15)*C10)*C18))/(1-C11)*C11*C14)-(((C23*C4*C9-C23*C11*C13-C23*C15-(C23*C4*C9-C23*C11*C13-C23*C15)*C10)-((C23*C4*C9-C23*C11*C13-C23*C15-(C23*C4*C9-C23*C11*C13-C23*C15)*C10)*C18))/(1-C11)*C15)-(((((C23*C4*C9-C23*C11*C13-C23*C15-(C23*C4*C9-C23*C11*C13-C23*C15)*C10)-((C23*C4*C9-C23*C11*C13-C23*C15-(C23*C4*C9-C23*C11*C13-C23*C15)*C10)*C18))/(1-C11)*C6)*C9-(((C23*C4*C9-C23*C11*C13-C23*C15-(C23*C4*C9-C23*C11*C13-C23*C15)*C10)-((C23*C4*C9-C23*C11*C13-C23*C15-(C23*C4*C9-C23*C11*C13-C23*C15)*C10)*C18))/(1-C11)*C11*C14)-(((C23*C4*C9-C23*C11*C13-C23*C15-(C23*C4*C9-C23*C11*C13-C23*C15)*C10)-((C23*C4*C9-C23*C11*C13-C23*C15-(C23*C4*C9-C23*C11*C13-C23*C15)*C10)*C18))/(1-C11)*C15))*C10)</f>
        <v>1.0378800000000006</v>
      </c>
      <c r="J32" s="31"/>
    </row>
    <row r="33" spans="5:10" ht="15" thickTop="1" x14ac:dyDescent="0.35">
      <c r="H33" s="61"/>
      <c r="I33" s="65"/>
    </row>
    <row r="34" spans="5:10" x14ac:dyDescent="0.35">
      <c r="E34" t="s">
        <v>14</v>
      </c>
      <c r="F34" s="7">
        <f>F14</f>
        <v>26.04</v>
      </c>
      <c r="H34" s="59">
        <f>(C43*C25*C29-C43*C31*C33-C43*C35-(C43*C25*C29-C43*C31*C33-C43*C35)*C30)*C38</f>
        <v>0</v>
      </c>
      <c r="I34" s="65"/>
    </row>
    <row r="35" spans="5:10" x14ac:dyDescent="0.35">
      <c r="E35" t="s">
        <v>15</v>
      </c>
      <c r="F35" s="7">
        <f>F15</f>
        <v>11.160000000000004</v>
      </c>
      <c r="H35" s="59">
        <f>(C43*C25*C29-C43*C31*C33-C43*C35-(C43*C25*C29-C43*C31*C33-C43*C35)*C30)-((C43*C25*C29-C43*C31*C33-C43*C35-(C43*C25*C29-C43*C31*C33-C43*C35)*C30)*C38)</f>
        <v>0</v>
      </c>
      <c r="I35" s="65"/>
    </row>
    <row r="36" spans="5:10" x14ac:dyDescent="0.35">
      <c r="H36" s="2"/>
      <c r="I36" s="65"/>
    </row>
    <row r="37" spans="5:10" x14ac:dyDescent="0.35">
      <c r="E37" s="9" t="s">
        <v>43</v>
      </c>
      <c r="F37" s="9"/>
      <c r="G37" s="56">
        <f>G32/F12</f>
        <v>2.7900000000000015E-2</v>
      </c>
      <c r="H37" s="10"/>
      <c r="I37" s="11">
        <f>(((((C23*C4*C9-C23*C11*C13-C23*C15-(C23*C4*C9-C23*C11*C13-C23*C15)*C10)-((C23*C4*C9-C23*C11*C13-C23*C15-(C23*C4*C9-C23*C11*C13-C23*C15)*C10)*C18))/(1-C11)*C6)*C9)-(((C23*C4*C9-C23*C11*C13-C23*C15-(C23*C4*C9-C23*C11*C13-C23*C15)*C10)-((C23*C4*C9-C23*C11*C13-C23*C15-(C23*C4*C9-C23*C11*C13-C23*C15)*C10)*C18))/(1-C11)*C11*C14)-(((C23*C4*C9-C23*C11*C13-C23*C15-(C23*C4*C9-C23*C11*C13-C23*C15)*C10)-((C23*C4*C9-C23*C11*C13-C23*C15-(C23*C4*C9-C23*C11*C13-C23*C15)*C10)*C18))/(1-C11)*C15)-(((((C23*C4*C9-C23*C11*C13-C23*C15-(C23*C4*C9-C23*C11*C13-C23*C15)*C10)-((C23*C4*C9-C23*C11*C13-C23*C15-(C23*C4*C9-C23*C11*C13-C23*C15)*C10)*C18))/(1-C11)*C6)*C9-(((C23*C4*C9-C23*C11*C13-C23*C15-(C23*C4*C9-C23*C11*C13-C23*C15)*C10)-((C23*C4*C9-C23*C11*C13-C23*C15-(C23*C4*C9-C23*C11*C13-C23*C15)*C10)*C18))/(1-C11)*C11*C14)-(((C23*C4*C9-C23*C11*C13-C23*C15-(C23*C4*C9-C23*C11*C13-C23*C15)*C10)-((C23*C4*C9-C23*C11*C13-C23*C15-(C23*C4*C9-C23*C11*C13-C23*C15)*C10)*C18))/(1-C11)*C15))*C10))/((C23*C4*C9-C23*C11*C13-C23*C15)-(C23*C4*C9-C23*C11*C13-C23*C15)*C10)</f>
        <v>2.7900000000000015E-2</v>
      </c>
      <c r="J37" s="112"/>
    </row>
    <row r="39" spans="5:10" x14ac:dyDescent="0.35">
      <c r="G39" s="8"/>
      <c r="I39" s="43"/>
    </row>
    <row r="40" spans="5:10" x14ac:dyDescent="0.35">
      <c r="H40" s="25" t="s">
        <v>21</v>
      </c>
      <c r="I40" s="89">
        <f>(((((C4*C9-C11*C13-C15-(C4*C9-C11*C13-C15)*C10)-((C4*C9-C11*C13-C15-(C4*C9-C11*C13-C15)*C10)*C18))/(1-C11)*C6)*C9)-(((C4*C9-C11*C13-C15-(C4*C9-C11*C13-C15)*C10)-((C4*C9-C11*C13-C15-(C4*C9-C11*C13-C15)*C10)*C18))/(1-C11)*C11*C14)-(((C4*C9-C11*C13-C15-(C4*C9-C11*C13-C15)*C10)-((C4*C9-C11*C13-C15-(C4*C9-C11*C13-C15)*C10)*C18))/(1-C11)*C15)-(((((C4*C9-C11*C13-C15-(C4*C9-C11*C13-C15)*C10)-((C4*C9-C11*C13-C15-(C4*C9-C11*C13-C15)*C10)*C18))/(1-C11)*C6)*C9-(((C4*C9-C11*C13-C15-(C4*C9-C11*C13-C15)*C10)-((C4*C9-C11*C13-C15-(C4*C9-C11*C13-C15)*C10)*C18))/(1-C11)*C11*C14)-(((C4*C9-C11*C13-C15-(C4*C9-C11*C13-C15)*C10)-((C4*C9-C11*C13-C15-(C4*C9-C11*C13-C15)*C10)*C18))/(1-C11)*C15))*C10))/((C4*C9-C11*C13-C15)-(C4*C9-C11*C13-C15)*C10)</f>
        <v>2.7900000000000012E-2</v>
      </c>
    </row>
    <row r="42" spans="5:10" x14ac:dyDescent="0.35">
      <c r="G42" s="113" t="s">
        <v>95</v>
      </c>
      <c r="H42" s="114"/>
      <c r="I42" s="115">
        <f>I40+I20</f>
        <v>6.8061290322580542E-2</v>
      </c>
    </row>
  </sheetData>
  <mergeCells count="2">
    <mergeCell ref="H3:I3"/>
    <mergeCell ref="H23:I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8D092-4668-47CC-B9E8-20B593B2E646}">
  <dimension ref="B1:J32"/>
  <sheetViews>
    <sheetView showGridLines="0" workbookViewId="0">
      <selection activeCell="G1" sqref="G1"/>
    </sheetView>
  </sheetViews>
  <sheetFormatPr defaultRowHeight="14.5" x14ac:dyDescent="0.35"/>
  <cols>
    <col min="2" max="2" width="33" customWidth="1"/>
    <col min="3" max="3" width="9.54296875" bestFit="1" customWidth="1"/>
    <col min="5" max="5" width="20.1796875" customWidth="1"/>
    <col min="6" max="6" width="19.1796875" customWidth="1"/>
    <col min="7" max="7" width="14.26953125" customWidth="1"/>
    <col min="8" max="8" width="14.81640625" customWidth="1"/>
    <col min="10" max="10" width="27.453125" customWidth="1"/>
  </cols>
  <sheetData>
    <row r="1" spans="2:8" ht="28.5" x14ac:dyDescent="0.65">
      <c r="B1" s="14" t="s">
        <v>58</v>
      </c>
    </row>
    <row r="3" spans="2:8" x14ac:dyDescent="0.35">
      <c r="B3" s="25" t="s">
        <v>35</v>
      </c>
    </row>
    <row r="4" spans="2:8" x14ac:dyDescent="0.35">
      <c r="B4" s="1" t="s">
        <v>61</v>
      </c>
      <c r="C4" s="90">
        <f>'Simple Model'!C5</f>
        <v>8.3000000000000004E-2</v>
      </c>
      <c r="F4" s="30" t="s">
        <v>10</v>
      </c>
      <c r="G4" s="30" t="s">
        <v>0</v>
      </c>
      <c r="H4" s="37" t="s">
        <v>42</v>
      </c>
    </row>
    <row r="5" spans="2:8" x14ac:dyDescent="0.35">
      <c r="B5" s="94" t="s">
        <v>88</v>
      </c>
      <c r="C5" s="5">
        <f>'Simple Model'!C6</f>
        <v>6.9444444444444448E-2</v>
      </c>
      <c r="E5" t="s">
        <v>38</v>
      </c>
      <c r="F5" s="31">
        <f>C23*C4</f>
        <v>83</v>
      </c>
      <c r="H5" s="38"/>
    </row>
    <row r="6" spans="2:8" x14ac:dyDescent="0.35">
      <c r="B6" s="2" t="s">
        <v>49</v>
      </c>
      <c r="C6" s="5">
        <f>'Simple Model'!C7</f>
        <v>8.3000000000000004E-2</v>
      </c>
      <c r="E6" t="s">
        <v>39</v>
      </c>
      <c r="G6" s="31">
        <f>C31*C32</f>
        <v>8.3000000000000007</v>
      </c>
      <c r="H6" s="39">
        <f>C23*(1-C11)*C7/(1-C11)*(C23*(1-C11)*C7/(1-C11))*C6/((C23*(1-C11)*C7/(1-C11))+C23*(1-C11)*C7*C8)</f>
        <v>8.3000000000000007</v>
      </c>
    </row>
    <row r="7" spans="2:8" x14ac:dyDescent="0.35">
      <c r="B7" s="2" t="s">
        <v>23</v>
      </c>
      <c r="C7" s="5">
        <f>'Simple Model'!C8</f>
        <v>0.1</v>
      </c>
      <c r="E7" t="s">
        <v>12</v>
      </c>
      <c r="F7" s="7">
        <f>C23*C4*C9</f>
        <v>74.7</v>
      </c>
      <c r="G7" s="31">
        <f>G6*C9</f>
        <v>7.4700000000000006</v>
      </c>
      <c r="H7" s="39">
        <f>C23*(1-C11)*C7/(1-C11)*(C23*(1-C11)*C7/(1-C11))*C6/((C23*(1-C11)*C7/(1-C11))+C23*(1-C11)*C7*C8)*C9</f>
        <v>7.4700000000000006</v>
      </c>
    </row>
    <row r="8" spans="2:8" x14ac:dyDescent="0.35">
      <c r="B8" s="2" t="s">
        <v>6</v>
      </c>
      <c r="C8" s="5">
        <v>0</v>
      </c>
      <c r="E8" t="s">
        <v>13</v>
      </c>
      <c r="F8" s="7">
        <f>C23*C11*C13</f>
        <v>37.5</v>
      </c>
      <c r="H8" s="39"/>
    </row>
    <row r="9" spans="2:8" x14ac:dyDescent="0.35">
      <c r="B9" s="2" t="s">
        <v>7</v>
      </c>
      <c r="C9" s="5">
        <f>'Simple Model'!C10</f>
        <v>0.9</v>
      </c>
      <c r="E9" t="s">
        <v>16</v>
      </c>
      <c r="F9" s="7"/>
      <c r="G9" s="31">
        <f>C31*C11*C14</f>
        <v>3.75</v>
      </c>
      <c r="H9" s="39">
        <f>C23*(1-C11)*C7/(1-C11)*C11*C14</f>
        <v>3.75</v>
      </c>
    </row>
    <row r="10" spans="2:8" x14ac:dyDescent="0.35">
      <c r="B10" s="2" t="s">
        <v>34</v>
      </c>
      <c r="C10" s="5">
        <f>'Simple Model'!C11</f>
        <v>0</v>
      </c>
      <c r="E10" t="s">
        <v>30</v>
      </c>
      <c r="F10" s="55">
        <f>C23*C15</f>
        <v>0</v>
      </c>
      <c r="G10" s="55">
        <f>C31*C15</f>
        <v>0</v>
      </c>
      <c r="H10" s="66">
        <f>C23*(1-C11)*C7/(1-C11)*C15</f>
        <v>0</v>
      </c>
    </row>
    <row r="11" spans="2:8" x14ac:dyDescent="0.35">
      <c r="B11" s="2" t="s">
        <v>55</v>
      </c>
      <c r="C11" s="5">
        <f>'Simple Model'!C12</f>
        <v>0.6</v>
      </c>
      <c r="E11" t="s">
        <v>28</v>
      </c>
      <c r="F11" s="55">
        <f>(C23*C4*C9-C23*C11*C13-C23*C15)*C10</f>
        <v>0</v>
      </c>
      <c r="G11" s="55">
        <f>(G7-G9-G10)*C10</f>
        <v>0</v>
      </c>
      <c r="H11" s="66">
        <f>(C23*(1-C11)*C7/(1-C11)*(C23*(1-C11)*C7/(1-C11))*C6/((C23*(1-C11)*C7/(1-C11))+C23*(1-C11)*C7*C8)*C9-(C23*(1-C11)*C7/(1-C11)*C11*C14)-(C23*(1-C11)*C7/(1-C11)*C15))*C10</f>
        <v>0</v>
      </c>
    </row>
    <row r="12" spans="2:8" ht="15" thickBot="1" x14ac:dyDescent="0.4">
      <c r="B12" s="94" t="s">
        <v>59</v>
      </c>
      <c r="C12" s="5">
        <f>'Simple Model'!C13</f>
        <v>0.50200803212851397</v>
      </c>
      <c r="E12" s="33" t="s">
        <v>29</v>
      </c>
      <c r="F12" s="32">
        <f>(C23*C4*C9-C23*C11*C13-C23*C15)-((C23*C4*C9-C23*C11*C13-C23*C15)*C10)</f>
        <v>37.200000000000003</v>
      </c>
      <c r="G12" s="32">
        <f>G7-G9-G10-G11</f>
        <v>3.7200000000000006</v>
      </c>
      <c r="H12" s="40">
        <f>C23*(1-C11)*C7/(1-C11)*(C23*(1-C11)*C7/(1-C11))*C6/((C23*(1-C11)*C7/(1-C11))+C23*(1-C11)*C7*C8)*C9-(C23*(1-C11)*C7/(1-C11)*C11*C14)-(C23*(1-C11)*C7/(1-C11)*C15)-((C23*(1-C11)*C7/(1-C11)*(C23*(1-C11)*C7/(1-C11))*C6/((C23*(1-C11)*C7/(1-C11))+C23*(1-C11)*C7*C8)*C9-(C23*(1-C11)*C7/(1-C11)*C11*C14)-(C23*(1-C11)*C7/(1-C11)*C15))*C10)</f>
        <v>3.7200000000000006</v>
      </c>
    </row>
    <row r="13" spans="2:8" ht="15" thickTop="1" x14ac:dyDescent="0.35">
      <c r="B13" s="2" t="s">
        <v>25</v>
      </c>
      <c r="C13" s="5">
        <f>'Simple Model'!C14</f>
        <v>6.25E-2</v>
      </c>
      <c r="H13" s="38"/>
    </row>
    <row r="14" spans="2:8" x14ac:dyDescent="0.35">
      <c r="B14" s="2" t="s">
        <v>48</v>
      </c>
      <c r="C14" s="5">
        <f>'Simple Model'!C15</f>
        <v>6.25E-2</v>
      </c>
      <c r="E14" t="s">
        <v>36</v>
      </c>
      <c r="G14" s="31">
        <f>C29*C20</f>
        <v>2.5</v>
      </c>
      <c r="H14" s="39">
        <f>C23*(1-C11)*C7*C20</f>
        <v>2.5</v>
      </c>
    </row>
    <row r="15" spans="2:8" x14ac:dyDescent="0.35">
      <c r="B15" s="2" t="s">
        <v>26</v>
      </c>
      <c r="C15" s="5">
        <f>'Simple Model'!C16</f>
        <v>0</v>
      </c>
      <c r="H15" s="38"/>
    </row>
    <row r="16" spans="2:8" x14ac:dyDescent="0.35">
      <c r="B16" s="94" t="s">
        <v>60</v>
      </c>
      <c r="C16" s="5">
        <f>'Simple Model'!C17</f>
        <v>0</v>
      </c>
      <c r="E16" t="s">
        <v>37</v>
      </c>
      <c r="G16" s="31">
        <f>G12-G14</f>
        <v>1.2200000000000006</v>
      </c>
      <c r="H16" s="39">
        <f>C23*(1-C11)*C7/(1-C11)*(C23*(1-C11)*C7/(1-C11))*C6/((C23*(1-C11)*C7/(1-C11))+C23*(1-C11)*C7*C8)*C9-(C23*(1-C11)*C7/(1-C11)*C11*C14)-(C23*(1-C11)*C7/(1-C11)*C15)-((C23*(1-C11)*C7/(1-C11)*(C23*(1-C11)*C7/(1-C11))*C6/((C23*(1-C11)*C7/(1-C11))+C23*(1-C11)*C7*C8)*C9-(C23*(1-C11)*C7/(1-C11)*C11*C14)-(C23*(1-C11)*C7/(1-C11)*C15))*C10)-(C23*(1-C11)*C7*C20)</f>
        <v>1.2200000000000006</v>
      </c>
    </row>
    <row r="17" spans="2:10" x14ac:dyDescent="0.35">
      <c r="B17" s="2" t="s">
        <v>31</v>
      </c>
      <c r="C17" s="5">
        <f>'Simple Model'!C18</f>
        <v>0.02</v>
      </c>
      <c r="H17" s="38"/>
    </row>
    <row r="18" spans="2:10" x14ac:dyDescent="0.35">
      <c r="B18" s="2" t="s">
        <v>27</v>
      </c>
      <c r="C18" s="5">
        <f>'Simple Model'!C19</f>
        <v>0.7</v>
      </c>
      <c r="E18" t="s">
        <v>40</v>
      </c>
      <c r="G18" s="31">
        <f>G16*(1-C7)</f>
        <v>1.0980000000000005</v>
      </c>
      <c r="H18" s="39">
        <f>(C23*(1-C11)*C7/(1-C11)*(C23*(1-C11)*C7/(1-C11))*C6/((C23*(1-C11)*C7/(1-C11))+C23*(1-C11)*C7*C8)*C9-(C23*(1-C11)*C7/(1-C11)*C11*C14)-(C23*(1-C11)*C7/(1-C11)*C15)-((C23*(1-C11)*C7/(1-C11)*(C23*(1-C11)*C7/(1-C11))*C6/((C23*(1-C11)*C7/(1-C11))+C23*(1-C11)*C7*C8)*C9-(C23*(1-C11)*C7/(1-C11)*C11*C14)-(C23*(1-C11)*C7/(1-C11)*C15))*C10)-(C23*(1-C11)*C7*C20))*(1-C7)</f>
        <v>1.0980000000000005</v>
      </c>
    </row>
    <row r="19" spans="2:10" x14ac:dyDescent="0.35">
      <c r="B19" s="2" t="s">
        <v>87</v>
      </c>
      <c r="C19" s="99">
        <f>'Simple Model'!C20</f>
        <v>16</v>
      </c>
      <c r="H19" s="38"/>
    </row>
    <row r="20" spans="2:10" x14ac:dyDescent="0.35">
      <c r="B20" s="27" t="s">
        <v>86</v>
      </c>
      <c r="C20" s="28">
        <f>1/C19</f>
        <v>6.25E-2</v>
      </c>
      <c r="E20" s="9" t="s">
        <v>44</v>
      </c>
      <c r="F20" s="9"/>
      <c r="G20" s="56">
        <f>G18/F12</f>
        <v>2.9516129032258077E-2</v>
      </c>
      <c r="H20" s="41">
        <f>((C23*(1-C11)*C7/(1-C11)*(C23*(1-C11)*C7/(1-C11))*C6/((C23*(1-C11)*C7/(1-C11))+C23*(1-C11)*C7*C8)*C9-(C23*(1-C11)*C7/(1-C11)*C11*C14)-(C23*(1-C11)*C7/(1-C11)*C15)-((C23*(1-C11)*C7/(1-C11)*(C23*(1-C11)*C7/(1-C11))*C6/((C23*(1-C11)*C7/(1-C11))+C23*(1-C11)*C7*C8)*C9-(C23*(1-C11)*C7/(1-C11)*C11*C14)-(C23*(1-C11)*C7/(1-C11)*C15))*C10)-(C23*(1-C11)*C7*1/C19))*(1-C7))/((C23*C4*C9-C23*C11*C13-C23*C15)-((C23*C4*C9-C23*C11*C13-C23*C15)*C10))</f>
        <v>2.9516129032258077E-2</v>
      </c>
      <c r="J20" s="29"/>
    </row>
    <row r="22" spans="2:10" x14ac:dyDescent="0.35">
      <c r="B22" s="35" t="s">
        <v>9</v>
      </c>
      <c r="C22" s="35"/>
      <c r="G22" s="29"/>
    </row>
    <row r="23" spans="2:10" x14ac:dyDescent="0.35">
      <c r="B23" t="s">
        <v>8</v>
      </c>
      <c r="C23" s="34">
        <v>1000</v>
      </c>
      <c r="G23" s="25" t="s">
        <v>21</v>
      </c>
      <c r="H23" s="89">
        <f>IF(C7&gt;0,(((1-C11)*C7/(1-C11)*((1-C11)*C7/(1-C11))*C6/(((1-C11)*C7/(1-C11))+(1-C11)*C7*C8)*C9-((1-C11)*C7/(1-C11)*C11*C14)-((1-C11)*C7/(1-C11)*C15)-(((1-C11)*C7/(1-C11)*((1-C11)*C7/(1-C11))*C6/(((1-C11)*C7/(1-C11))+(1-C11)*C7*C8)*C9-((1-C11)*C7/(1-C11)*C11*C14)-((1-C11)*C7/(1-C11)*C15))*C10)-((1-C11)*C7*1/C19))*(1-C7))/((C4*C9-C11*C13-C15)-((C4*C9-C11*C13-C15)*C10)),0)</f>
        <v>2.951612903225808E-2</v>
      </c>
    </row>
    <row r="24" spans="2:10" x14ac:dyDescent="0.35">
      <c r="B24" s="35" t="s">
        <v>3</v>
      </c>
      <c r="C24" s="35"/>
    </row>
    <row r="25" spans="2:10" x14ac:dyDescent="0.35">
      <c r="B25" t="s">
        <v>1</v>
      </c>
      <c r="C25" s="36">
        <f>IF(C26&gt;0,1/C26,0)</f>
        <v>10.75268817204301</v>
      </c>
    </row>
    <row r="26" spans="2:10" x14ac:dyDescent="0.35">
      <c r="B26" t="s">
        <v>2</v>
      </c>
      <c r="C26" s="29">
        <f>IF(C7&gt;0,(((1-C11)*C7/(1-C11)*C6/((1-C11)*C7/(1-C11)+(1-C11)*C7*C8))*C9-C11*C13-C15)/(1-C11)*(1-C10),0)</f>
        <v>9.2999999999999999E-2</v>
      </c>
      <c r="E26" s="42"/>
    </row>
    <row r="27" spans="2:10" x14ac:dyDescent="0.35">
      <c r="B27" s="35" t="s">
        <v>22</v>
      </c>
      <c r="C27" s="35"/>
    </row>
    <row r="28" spans="2:10" x14ac:dyDescent="0.35">
      <c r="B28" t="s">
        <v>17</v>
      </c>
      <c r="C28" s="31">
        <f>C23*(1-C11)</f>
        <v>400</v>
      </c>
      <c r="E28" s="42"/>
    </row>
    <row r="29" spans="2:10" x14ac:dyDescent="0.35">
      <c r="B29" t="s">
        <v>18</v>
      </c>
      <c r="C29" s="31">
        <f>C23*(1-C11)*C7</f>
        <v>40</v>
      </c>
    </row>
    <row r="30" spans="2:10" x14ac:dyDescent="0.35">
      <c r="B30" t="s">
        <v>19</v>
      </c>
      <c r="C30" s="31">
        <f>C23*(1-C11)*C7*C8</f>
        <v>0</v>
      </c>
    </row>
    <row r="31" spans="2:10" x14ac:dyDescent="0.35">
      <c r="B31" t="s">
        <v>20</v>
      </c>
      <c r="C31" s="31">
        <f>C23*(1-C11)*C7/(1-C11)</f>
        <v>100</v>
      </c>
    </row>
    <row r="32" spans="2:10" x14ac:dyDescent="0.35">
      <c r="B32" t="s">
        <v>41</v>
      </c>
      <c r="C32" s="29">
        <f>IF(C7&gt;0,(C23*(1-C11)*C7/(1-C11))*C6/((C23*(1-C11)*C7/(1-C11))+C23*(1-C11)*C7*C8),0)</f>
        <v>8.3000000000000004E-2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Simple Model</vt:lpstr>
      <vt:lpstr>Backup Internal Growth</vt:lpstr>
      <vt:lpstr>Backup External Growth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Volk</dc:creator>
  <cp:lastModifiedBy>Christopher Volk</cp:lastModifiedBy>
  <cp:lastPrinted>2024-12-20T22:59:51Z</cp:lastPrinted>
  <dcterms:created xsi:type="dcterms:W3CDTF">2024-05-16T16:51:30Z</dcterms:created>
  <dcterms:modified xsi:type="dcterms:W3CDTF">2024-12-24T00:34:19Z</dcterms:modified>
</cp:coreProperties>
</file>