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haerusing/Desktop/"/>
    </mc:Choice>
  </mc:AlternateContent>
  <xr:revisionPtr revIDLastSave="0" documentId="8_{953A0680-9800-3746-ACBE-99197F9E60A7}" xr6:coauthVersionLast="47" xr6:coauthVersionMax="47" xr10:uidLastSave="{00000000-0000-0000-0000-000000000000}"/>
  <bookViews>
    <workbookView xWindow="9720" yWindow="1620" windowWidth="24220" windowHeight="15500" xr2:uid="{9C18C51C-A47F-4A42-A122-71661F5D5E01}"/>
  </bookViews>
  <sheets>
    <sheet name="Five Year Model" sheetId="1" r:id="rId1"/>
  </sheets>
  <definedNames>
    <definedName name="solver_adj" localSheetId="0" hidden="1">'Five Year Model'!$C$17</definedName>
    <definedName name="solver_cvg" localSheetId="0" hidden="1">0.0001</definedName>
    <definedName name="solver_drv" localSheetId="0" hidden="1">1</definedName>
    <definedName name="solver_eng" localSheetId="0" hidden="1">1</definedName>
    <definedName name="solver_est" localSheetId="0" hidden="1">1</definedName>
    <definedName name="solver_itr" localSheetId="0" hidden="1">2147483647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1</definedName>
    <definedName name="solver_nod" localSheetId="0" hidden="1">2147483647</definedName>
    <definedName name="solver_num" localSheetId="0" hidden="1">0</definedName>
    <definedName name="solver_nwt" localSheetId="0" hidden="1">1</definedName>
    <definedName name="solver_opt" localSheetId="0" hidden="1">'Five Year Model'!$K$44</definedName>
    <definedName name="solver_pre" localSheetId="0" hidden="1">0.000001</definedName>
    <definedName name="solver_rbv" localSheetId="0" hidden="1">1</definedName>
    <definedName name="solver_rlx" localSheetId="0" hidden="1">2</definedName>
    <definedName name="solver_rsd" localSheetId="0" hidden="1">0</definedName>
    <definedName name="solver_scl" localSheetId="0" hidden="1">1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3</definedName>
    <definedName name="solver_val" localSheetId="0" hidden="1">14359</definedName>
    <definedName name="solver_ver" localSheetId="0" hidden="1">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0" i="1" l="1"/>
  <c r="G18" i="1"/>
  <c r="M53" i="1" l="1"/>
  <c r="E46" i="1"/>
  <c r="E59" i="1"/>
  <c r="E66" i="1" l="1"/>
  <c r="E65" i="1"/>
  <c r="K61" i="1"/>
  <c r="J61" i="1"/>
  <c r="I61" i="1"/>
  <c r="H61" i="1"/>
  <c r="G61" i="1"/>
  <c r="E71" i="1"/>
  <c r="E69" i="1"/>
  <c r="E62" i="1"/>
  <c r="G10" i="1"/>
  <c r="H10" i="1"/>
  <c r="I10" i="1" s="1"/>
  <c r="J10" i="1" s="1"/>
  <c r="K10" i="1" s="1"/>
  <c r="G12" i="1" l="1"/>
  <c r="G14" i="1" s="1"/>
  <c r="G25" i="1" s="1"/>
  <c r="G30" i="1" s="1"/>
  <c r="G41" i="1" s="1"/>
  <c r="H12" i="1"/>
  <c r="G62" i="1"/>
  <c r="I12" i="1"/>
  <c r="G34" i="1" l="1"/>
  <c r="G36" i="1" s="1"/>
  <c r="G20" i="1"/>
  <c r="K12" i="1"/>
  <c r="J12" i="1"/>
  <c r="H14" i="1"/>
  <c r="H25" i="1" s="1"/>
  <c r="H13" i="1"/>
  <c r="I14" i="1"/>
  <c r="I25" i="1" s="1"/>
  <c r="I13" i="1"/>
  <c r="G67" i="1" l="1"/>
  <c r="G37" i="1"/>
  <c r="G21" i="1"/>
  <c r="G51" i="1" s="1"/>
  <c r="G22" i="1"/>
  <c r="G52" i="1" s="1"/>
  <c r="J14" i="1"/>
  <c r="J25" i="1" s="1"/>
  <c r="J13" i="1"/>
  <c r="K14" i="1"/>
  <c r="K25" i="1" s="1"/>
  <c r="K13" i="1"/>
  <c r="G38" i="1" l="1"/>
  <c r="H40" i="1" s="1"/>
  <c r="G54" i="1"/>
  <c r="G71" i="1"/>
  <c r="G23" i="1"/>
  <c r="I26" i="1" s="1"/>
  <c r="G69" i="1"/>
  <c r="F54" i="1"/>
  <c r="G65" i="1" l="1"/>
  <c r="K26" i="1"/>
  <c r="H26" i="1"/>
  <c r="H30" i="1" s="1"/>
  <c r="J26" i="1"/>
  <c r="H18" i="1"/>
  <c r="H41" i="1" l="1"/>
  <c r="H42" i="1" s="1"/>
  <c r="H62" i="1"/>
  <c r="G63" i="1" s="1"/>
  <c r="H31" i="1"/>
  <c r="H20" i="1"/>
  <c r="H21" i="1" s="1"/>
  <c r="H34" i="1"/>
  <c r="H22" i="1" l="1"/>
  <c r="H52" i="1" s="1"/>
  <c r="H36" i="1"/>
  <c r="H67" i="1"/>
  <c r="H35" i="1"/>
  <c r="H66" i="1"/>
  <c r="H32" i="1"/>
  <c r="H51" i="1"/>
  <c r="H54" i="1" l="1"/>
  <c r="H69" i="1"/>
  <c r="H37" i="1"/>
  <c r="H23" i="1"/>
  <c r="H65" i="1" s="1"/>
  <c r="H38" i="1" l="1"/>
  <c r="I40" i="1" s="1"/>
  <c r="H71" i="1"/>
  <c r="J27" i="1"/>
  <c r="K27" i="1"/>
  <c r="I18" i="1"/>
  <c r="I27" i="1"/>
  <c r="I30" i="1" s="1"/>
  <c r="I31" i="1" l="1"/>
  <c r="I32" i="1" s="1"/>
  <c r="I62" i="1"/>
  <c r="H63" i="1" s="1"/>
  <c r="I41" i="1"/>
  <c r="I42" i="1" s="1"/>
  <c r="I34" i="1"/>
  <c r="I20" i="1"/>
  <c r="I21" i="1" s="1"/>
  <c r="I66" i="1" l="1"/>
  <c r="I22" i="1"/>
  <c r="I52" i="1" s="1"/>
  <c r="I36" i="1"/>
  <c r="I37" i="1" s="1"/>
  <c r="I67" i="1"/>
  <c r="I35" i="1"/>
  <c r="I38" i="1" l="1"/>
  <c r="I69" i="1"/>
  <c r="I51" i="1"/>
  <c r="I54" i="1" s="1"/>
  <c r="I23" i="1"/>
  <c r="J28" i="1" s="1"/>
  <c r="J40" i="1" l="1"/>
  <c r="I71" i="1"/>
  <c r="J30" i="1"/>
  <c r="I65" i="1"/>
  <c r="J18" i="1"/>
  <c r="K28" i="1"/>
  <c r="J20" i="1" l="1"/>
  <c r="J22" i="1" s="1"/>
  <c r="J52" i="1" s="1"/>
  <c r="J31" i="1"/>
  <c r="J41" i="1"/>
  <c r="J42" i="1" s="1"/>
  <c r="J34" i="1"/>
  <c r="J36" i="1" s="1"/>
  <c r="J37" i="1" s="1"/>
  <c r="J62" i="1"/>
  <c r="I63" i="1" s="1"/>
  <c r="J21" i="1" l="1"/>
  <c r="J23" i="1" s="1"/>
  <c r="J38" i="1"/>
  <c r="J35" i="1"/>
  <c r="J66" i="1"/>
  <c r="J32" i="1"/>
  <c r="J67" i="1"/>
  <c r="J69" i="1"/>
  <c r="J51" i="1" l="1"/>
  <c r="J54" i="1" s="1"/>
  <c r="J65" i="1"/>
  <c r="K29" i="1"/>
  <c r="K30" i="1" s="1"/>
  <c r="K40" i="1"/>
  <c r="J71" i="1"/>
  <c r="K18" i="1"/>
  <c r="K34" i="1" l="1"/>
  <c r="K36" i="1" s="1"/>
  <c r="K37" i="1" s="1"/>
  <c r="K62" i="1"/>
  <c r="K41" i="1"/>
  <c r="K42" i="1" s="1"/>
  <c r="K20" i="1"/>
  <c r="K31" i="1"/>
  <c r="K71" i="1" l="1"/>
  <c r="Q24" i="1" s="1"/>
  <c r="K22" i="1"/>
  <c r="K52" i="1" s="1"/>
  <c r="K21" i="1"/>
  <c r="K53" i="1" s="1"/>
  <c r="K35" i="1"/>
  <c r="K66" i="1"/>
  <c r="K32" i="1"/>
  <c r="J63" i="1"/>
  <c r="K67" i="1"/>
  <c r="L34" i="1"/>
  <c r="N51" i="1" l="1"/>
  <c r="N50" i="1"/>
  <c r="K51" i="1"/>
  <c r="K38" i="1"/>
  <c r="K23" i="1"/>
  <c r="K54" i="1" l="1"/>
  <c r="F57" i="1" s="1"/>
  <c r="N52" i="1"/>
  <c r="N53" i="1"/>
  <c r="N54" i="1" s="1"/>
  <c r="K69" i="1"/>
  <c r="K65" i="1"/>
  <c r="K63" i="1" s="1"/>
  <c r="K57" i="1" l="1"/>
  <c r="F56" i="1"/>
  <c r="N14" i="1" l="1"/>
  <c r="U14" i="1"/>
  <c r="K56" i="1"/>
</calcChain>
</file>

<file path=xl/sharedStrings.xml><?xml version="1.0" encoding="utf-8"?>
<sst xmlns="http://schemas.openxmlformats.org/spreadsheetml/2006/main" count="76" uniqueCount="72">
  <si>
    <t>Sales</t>
  </si>
  <si>
    <t>Current Pre-Tax ROE</t>
  </si>
  <si>
    <t>Dividend Payout Ratio</t>
  </si>
  <si>
    <t>Year 1</t>
  </si>
  <si>
    <t>Year 2</t>
  </si>
  <si>
    <t>Year 3</t>
  </si>
  <si>
    <t>Year 4</t>
  </si>
  <si>
    <t>Year 5</t>
  </si>
  <si>
    <t>Inputs:</t>
  </si>
  <si>
    <t>After Tax Cash Flow</t>
  </si>
  <si>
    <t>Year 1 After Tax Equity Cash Flows</t>
  </si>
  <si>
    <t>Year 2 After Tax Equity Cash Flows</t>
  </si>
  <si>
    <t>Year 3 After Tax Equity Cash Flows</t>
  </si>
  <si>
    <t>Year 4 After Tax Equity Cash Flows</t>
  </si>
  <si>
    <t>Year 5 After Tax Equity Cash Flows</t>
  </si>
  <si>
    <t>Current After Tax ROE</t>
  </si>
  <si>
    <t xml:space="preserve">   Pre-Tax ROE Growth</t>
  </si>
  <si>
    <t>Total Annual After Tax Cash Flows</t>
  </si>
  <si>
    <t>Initial Investment</t>
  </si>
  <si>
    <t xml:space="preserve">   Dividends</t>
  </si>
  <si>
    <t>Total</t>
  </si>
  <si>
    <t>Year</t>
  </si>
  <si>
    <t>Total Equity Valuation</t>
  </si>
  <si>
    <t>Price Per Share</t>
  </si>
  <si>
    <t xml:space="preserve">   Growth</t>
  </si>
  <si>
    <t>Number of Shares Repurchased</t>
  </si>
  <si>
    <t>Cash Flow per Share</t>
  </si>
  <si>
    <t>Beginning Equity at Cost</t>
  </si>
  <si>
    <t>With Dividends and Share Buybacks</t>
  </si>
  <si>
    <t>Share BuyBacks</t>
  </si>
  <si>
    <t>Current After-Tax Return</t>
  </si>
  <si>
    <t>Equity Valuation Multiple</t>
  </si>
  <si>
    <t>Current Reinvested After-Tax Cash Flows</t>
  </si>
  <si>
    <t xml:space="preserve">   Growth Rate</t>
  </si>
  <si>
    <t>($000's)</t>
  </si>
  <si>
    <t>Ending Equity at Cost</t>
  </si>
  <si>
    <t xml:space="preserve">   Residual Value, Net of Tax</t>
  </si>
  <si>
    <t xml:space="preserve">   Growth Rate - Base Growth Rate</t>
  </si>
  <si>
    <t>Average</t>
  </si>
  <si>
    <t>% of IRR from Cash Flows</t>
  </si>
  <si>
    <t>Modified After Tax IRR</t>
  </si>
  <si>
    <t xml:space="preserve">   Less:  Share Repurchases</t>
  </si>
  <si>
    <t xml:space="preserve">   Less: Dividends</t>
  </si>
  <si>
    <t>Value</t>
  </si>
  <si>
    <t>Residual</t>
  </si>
  <si>
    <t>Base Business Current ROE</t>
  </si>
  <si>
    <t>Incorporating Compounding Considerations</t>
  </si>
  <si>
    <t>Residual Tie-Out</t>
  </si>
  <si>
    <t xml:space="preserve">   Share Repurchases</t>
  </si>
  <si>
    <t>Ending Business Value At Different Payout/Buybacks</t>
  </si>
  <si>
    <t>Value Equation Compound Corporate 5-Year Growth Model</t>
  </si>
  <si>
    <t>Data Tables</t>
  </si>
  <si>
    <t xml:space="preserve">   Cost Basis</t>
  </si>
  <si>
    <t xml:space="preserve">   Taxable Gain</t>
  </si>
  <si>
    <t xml:space="preserve">   1   Sales</t>
  </si>
  <si>
    <t>Value Equation Variables</t>
  </si>
  <si>
    <t xml:space="preserve">   2   Business Investment</t>
  </si>
  <si>
    <t xml:space="preserve">   3   Operating Profit Margin</t>
  </si>
  <si>
    <t xml:space="preserve">   4   OPM Mix</t>
  </si>
  <si>
    <t xml:space="preserve">   5   Cost of OPM</t>
  </si>
  <si>
    <t xml:space="preserve">   6   CapEx/Business Investment</t>
  </si>
  <si>
    <t>Other Variables</t>
  </si>
  <si>
    <t xml:space="preserve">   Income Tax Rate</t>
  </si>
  <si>
    <t xml:space="preserve">   Original Equity Invested</t>
  </si>
  <si>
    <t xml:space="preserve">   Sales Growth</t>
  </si>
  <si>
    <t xml:space="preserve">   Number of Shares</t>
  </si>
  <si>
    <t xml:space="preserve">   Dividend Payout Ratio</t>
  </si>
  <si>
    <t xml:space="preserve">   Share Repurchase Ratio</t>
  </si>
  <si>
    <t xml:space="preserve">   Pre-Tax Hurdle Rate</t>
  </si>
  <si>
    <t>After Tax IRR</t>
  </si>
  <si>
    <t>Chapter Four Illustration</t>
  </si>
  <si>
    <t>5-Year Equity Modified IRR's with Share Repurchases Are Slightly Higher Than Similar Dividend Payments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</si>
</sst>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5" formatCode="&quot;$&quot;#,##0_);\(&quot;$&quot;#,##0\)"/>
    <numFmt numFmtId="6" formatCode="&quot;$&quot;#,##0_);[Red]\(&quot;$&quot;#,##0\)"/>
    <numFmt numFmtId="8" formatCode="&quot;$&quot;#,##0.00_);[Red]\(&quot;$&quot;#,##0.00\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;;;"/>
    <numFmt numFmtId="167" formatCode="#,##0.##\X"/>
    <numFmt numFmtId="168" formatCode="0.000000000000000%"/>
    <numFmt numFmtId="169" formatCode="0.0000%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Arial"/>
      <family val="2"/>
    </font>
    <font>
      <sz val="11"/>
      <color theme="1"/>
      <name val="Arial"/>
      <family val="2"/>
    </font>
    <font>
      <i/>
      <sz val="12"/>
      <color theme="1"/>
      <name val="Arial"/>
      <family val="2"/>
    </font>
    <font>
      <sz val="12"/>
      <color theme="1"/>
      <name val="Arial"/>
      <family val="2"/>
    </font>
    <font>
      <i/>
      <sz val="11"/>
      <color theme="1"/>
      <name val="Arial"/>
      <family val="2"/>
    </font>
    <font>
      <u/>
      <sz val="11"/>
      <color theme="1"/>
      <name val="Arial"/>
      <family val="2"/>
    </font>
    <font>
      <i/>
      <u/>
      <sz val="11"/>
      <color theme="1"/>
      <name val="Arial"/>
      <family val="2"/>
    </font>
    <font>
      <i/>
      <sz val="9"/>
      <color theme="1"/>
      <name val="Arial"/>
      <family val="2"/>
    </font>
    <font>
      <b/>
      <sz val="11"/>
      <color theme="1"/>
      <name val="Arial"/>
      <family val="2"/>
    </font>
    <font>
      <sz val="16"/>
      <color theme="1"/>
      <name val="Arial"/>
      <family val="2"/>
    </font>
    <font>
      <sz val="48"/>
      <color theme="1"/>
      <name val="Arial"/>
      <family val="2"/>
    </font>
    <font>
      <u/>
      <sz val="12"/>
      <color theme="1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2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8">
    <xf numFmtId="0" fontId="0" fillId="0" borderId="0" xfId="0"/>
    <xf numFmtId="164" fontId="0" fillId="0" borderId="0" xfId="2" applyNumberFormat="1" applyFont="1"/>
    <xf numFmtId="165" fontId="0" fillId="0" borderId="0" xfId="1" applyNumberFormat="1" applyFont="1"/>
    <xf numFmtId="165" fontId="0" fillId="0" borderId="0" xfId="0" applyNumberFormat="1"/>
    <xf numFmtId="43" fontId="0" fillId="0" borderId="0" xfId="0" applyNumberFormat="1"/>
    <xf numFmtId="0" fontId="2" fillId="0" borderId="0" xfId="0" applyFont="1"/>
    <xf numFmtId="165" fontId="0" fillId="0" borderId="1" xfId="1" applyNumberFormat="1" applyFont="1" applyBorder="1"/>
    <xf numFmtId="0" fontId="0" fillId="0" borderId="1" xfId="0" applyBorder="1" applyAlignment="1">
      <alignment horizontal="center"/>
    </xf>
    <xf numFmtId="6" fontId="0" fillId="0" borderId="0" xfId="0" applyNumberFormat="1"/>
    <xf numFmtId="6" fontId="0" fillId="0" borderId="0" xfId="1" applyNumberFormat="1" applyFont="1"/>
    <xf numFmtId="8" fontId="0" fillId="0" borderId="0" xfId="0" applyNumberFormat="1"/>
    <xf numFmtId="165" fontId="2" fillId="0" borderId="0" xfId="0" applyNumberFormat="1" applyFont="1"/>
    <xf numFmtId="164" fontId="2" fillId="0" borderId="0" xfId="2" applyNumberFormat="1" applyFont="1"/>
    <xf numFmtId="9" fontId="0" fillId="0" borderId="0" xfId="2" applyFont="1"/>
    <xf numFmtId="10" fontId="0" fillId="0" borderId="0" xfId="2" applyNumberFormat="1" applyFont="1"/>
    <xf numFmtId="43" fontId="0" fillId="0" borderId="0" xfId="1" applyFont="1"/>
    <xf numFmtId="0" fontId="3" fillId="2" borderId="0" xfId="0" applyFont="1" applyFill="1" applyAlignment="1">
      <alignment horizontal="right"/>
    </xf>
    <xf numFmtId="9" fontId="3" fillId="2" borderId="0" xfId="0" applyNumberFormat="1" applyFont="1" applyFill="1"/>
    <xf numFmtId="167" fontId="0" fillId="0" borderId="0" xfId="0" applyNumberFormat="1"/>
    <xf numFmtId="6" fontId="3" fillId="2" borderId="0" xfId="0" applyNumberFormat="1" applyFont="1" applyFill="1"/>
    <xf numFmtId="165" fontId="0" fillId="0" borderId="0" xfId="2" applyNumberFormat="1" applyFont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5" fillId="0" borderId="0" xfId="0" applyFont="1"/>
    <xf numFmtId="0" fontId="8" fillId="0" borderId="2" xfId="0" applyFont="1" applyBorder="1"/>
    <xf numFmtId="0" fontId="5" fillId="0" borderId="4" xfId="0" applyFont="1" applyBorder="1"/>
    <xf numFmtId="0" fontId="9" fillId="0" borderId="2" xfId="0" applyFont="1" applyBorder="1"/>
    <xf numFmtId="0" fontId="5" fillId="0" borderId="3" xfId="0" applyFont="1" applyBorder="1"/>
    <xf numFmtId="0" fontId="10" fillId="0" borderId="5" xfId="0" applyFont="1" applyBorder="1"/>
    <xf numFmtId="0" fontId="5" fillId="0" borderId="6" xfId="0" applyFont="1" applyBorder="1"/>
    <xf numFmtId="0" fontId="5" fillId="0" borderId="5" xfId="0" applyFont="1" applyBorder="1"/>
    <xf numFmtId="0" fontId="5" fillId="0" borderId="1" xfId="0" applyFont="1" applyBorder="1" applyAlignment="1">
      <alignment horizontal="center"/>
    </xf>
    <xf numFmtId="164" fontId="5" fillId="0" borderId="1" xfId="2" applyNumberFormat="1" applyFont="1" applyBorder="1" applyAlignment="1">
      <alignment horizontal="center"/>
    </xf>
    <xf numFmtId="164" fontId="5" fillId="0" borderId="8" xfId="2" applyNumberFormat="1" applyFont="1" applyBorder="1" applyAlignment="1">
      <alignment horizontal="center"/>
    </xf>
    <xf numFmtId="6" fontId="5" fillId="0" borderId="6" xfId="0" applyNumberFormat="1" applyFont="1" applyBorder="1"/>
    <xf numFmtId="0" fontId="5" fillId="0" borderId="0" xfId="0" applyFont="1" applyBorder="1"/>
    <xf numFmtId="6" fontId="5" fillId="0" borderId="0" xfId="0" applyNumberFormat="1" applyFont="1" applyBorder="1"/>
    <xf numFmtId="6" fontId="5" fillId="0" borderId="0" xfId="0" applyNumberFormat="1" applyFont="1"/>
    <xf numFmtId="164" fontId="5" fillId="0" borderId="0" xfId="2" applyNumberFormat="1" applyFont="1"/>
    <xf numFmtId="164" fontId="5" fillId="0" borderId="6" xfId="2" applyNumberFormat="1" applyFont="1" applyBorder="1"/>
    <xf numFmtId="10" fontId="5" fillId="0" borderId="0" xfId="2" applyNumberFormat="1" applyFont="1" applyBorder="1"/>
    <xf numFmtId="10" fontId="5" fillId="0" borderId="6" xfId="2" applyNumberFormat="1" applyFont="1" applyBorder="1"/>
    <xf numFmtId="164" fontId="5" fillId="0" borderId="0" xfId="2" applyNumberFormat="1" applyFont="1" applyBorder="1"/>
    <xf numFmtId="0" fontId="11" fillId="0" borderId="5" xfId="0" applyFont="1" applyBorder="1"/>
    <xf numFmtId="0" fontId="11" fillId="0" borderId="0" xfId="0" applyFont="1" applyBorder="1"/>
    <xf numFmtId="10" fontId="11" fillId="0" borderId="0" xfId="0" applyNumberFormat="1" applyFont="1" applyBorder="1"/>
    <xf numFmtId="10" fontId="11" fillId="0" borderId="6" xfId="0" applyNumberFormat="1" applyFont="1" applyBorder="1"/>
    <xf numFmtId="0" fontId="5" fillId="0" borderId="7" xfId="0" applyFont="1" applyBorder="1"/>
    <xf numFmtId="0" fontId="5" fillId="0" borderId="1" xfId="0" applyFont="1" applyBorder="1"/>
    <xf numFmtId="10" fontId="5" fillId="0" borderId="1" xfId="2" applyNumberFormat="1" applyFont="1" applyBorder="1"/>
    <xf numFmtId="10" fontId="5" fillId="0" borderId="8" xfId="2" applyNumberFormat="1" applyFont="1" applyBorder="1"/>
    <xf numFmtId="164" fontId="5" fillId="0" borderId="0" xfId="0" applyNumberFormat="1" applyFont="1"/>
    <xf numFmtId="9" fontId="5" fillId="0" borderId="0" xfId="2" applyFont="1" applyBorder="1"/>
    <xf numFmtId="165" fontId="5" fillId="0" borderId="0" xfId="2" applyNumberFormat="1" applyFont="1" applyBorder="1"/>
    <xf numFmtId="165" fontId="5" fillId="0" borderId="6" xfId="2" applyNumberFormat="1" applyFont="1" applyBorder="1"/>
    <xf numFmtId="165" fontId="5" fillId="0" borderId="0" xfId="1" applyNumberFormat="1" applyFont="1" applyBorder="1"/>
    <xf numFmtId="165" fontId="5" fillId="0" borderId="6" xfId="1" applyNumberFormat="1" applyFont="1" applyBorder="1"/>
    <xf numFmtId="5" fontId="5" fillId="0" borderId="2" xfId="0" applyNumberFormat="1" applyFont="1" applyBorder="1"/>
    <xf numFmtId="5" fontId="5" fillId="0" borderId="3" xfId="0" applyNumberFormat="1" applyFont="1" applyBorder="1"/>
    <xf numFmtId="5" fontId="5" fillId="0" borderId="4" xfId="0" applyNumberFormat="1" applyFont="1" applyBorder="1"/>
    <xf numFmtId="165" fontId="5" fillId="0" borderId="1" xfId="0" applyNumberFormat="1" applyFont="1" applyBorder="1"/>
    <xf numFmtId="165" fontId="5" fillId="0" borderId="8" xfId="0" applyNumberFormat="1" applyFont="1" applyBorder="1"/>
    <xf numFmtId="165" fontId="5" fillId="0" borderId="0" xfId="2" applyNumberFormat="1" applyFont="1" applyFill="1" applyBorder="1"/>
    <xf numFmtId="5" fontId="5" fillId="0" borderId="5" xfId="0" applyNumberFormat="1" applyFont="1" applyBorder="1"/>
    <xf numFmtId="5" fontId="5" fillId="0" borderId="0" xfId="0" applyNumberFormat="1" applyFont="1" applyBorder="1"/>
    <xf numFmtId="5" fontId="5" fillId="0" borderId="6" xfId="0" applyNumberFormat="1" applyFont="1" applyBorder="1"/>
    <xf numFmtId="0" fontId="12" fillId="0" borderId="5" xfId="0" applyFont="1" applyBorder="1"/>
    <xf numFmtId="0" fontId="12" fillId="0" borderId="0" xfId="0" applyFont="1" applyBorder="1"/>
    <xf numFmtId="6" fontId="12" fillId="0" borderId="0" xfId="0" applyNumberFormat="1" applyFont="1" applyBorder="1"/>
    <xf numFmtId="6" fontId="12" fillId="0" borderId="6" xfId="0" applyNumberFormat="1" applyFont="1" applyBorder="1"/>
    <xf numFmtId="169" fontId="5" fillId="0" borderId="0" xfId="0" applyNumberFormat="1" applyFont="1"/>
    <xf numFmtId="5" fontId="5" fillId="0" borderId="7" xfId="0" applyNumberFormat="1" applyFont="1" applyBorder="1"/>
    <xf numFmtId="5" fontId="5" fillId="0" borderId="1" xfId="0" applyNumberFormat="1" applyFont="1" applyBorder="1"/>
    <xf numFmtId="5" fontId="5" fillId="0" borderId="8" xfId="0" applyNumberFormat="1" applyFont="1" applyBorder="1"/>
    <xf numFmtId="165" fontId="5" fillId="0" borderId="1" xfId="1" applyNumberFormat="1" applyFont="1" applyBorder="1"/>
    <xf numFmtId="165" fontId="5" fillId="0" borderId="8" xfId="1" applyNumberFormat="1" applyFont="1" applyBorder="1"/>
    <xf numFmtId="165" fontId="11" fillId="0" borderId="0" xfId="0" applyNumberFormat="1" applyFont="1" applyBorder="1"/>
    <xf numFmtId="10" fontId="11" fillId="0" borderId="0" xfId="2" applyNumberFormat="1" applyFont="1" applyBorder="1"/>
    <xf numFmtId="10" fontId="11" fillId="0" borderId="6" xfId="2" applyNumberFormat="1" applyFont="1" applyBorder="1"/>
    <xf numFmtId="165" fontId="5" fillId="0" borderId="0" xfId="0" applyNumberFormat="1" applyFont="1" applyBorder="1"/>
    <xf numFmtId="0" fontId="5" fillId="0" borderId="0" xfId="0" applyFont="1" applyAlignment="1">
      <alignment horizontal="center"/>
    </xf>
    <xf numFmtId="10" fontId="5" fillId="0" borderId="0" xfId="0" applyNumberFormat="1" applyFont="1"/>
    <xf numFmtId="164" fontId="11" fillId="0" borderId="0" xfId="0" applyNumberFormat="1" applyFont="1" applyBorder="1"/>
    <xf numFmtId="164" fontId="11" fillId="0" borderId="6" xfId="0" applyNumberFormat="1" applyFont="1" applyBorder="1"/>
    <xf numFmtId="167" fontId="5" fillId="0" borderId="0" xfId="0" applyNumberFormat="1" applyFont="1" applyBorder="1"/>
    <xf numFmtId="167" fontId="5" fillId="0" borderId="6" xfId="0" applyNumberFormat="1" applyFont="1" applyBorder="1"/>
    <xf numFmtId="8" fontId="5" fillId="0" borderId="0" xfId="0" applyNumberFormat="1" applyFont="1"/>
    <xf numFmtId="8" fontId="5" fillId="0" borderId="0" xfId="0" applyNumberFormat="1" applyFont="1" applyBorder="1"/>
    <xf numFmtId="8" fontId="5" fillId="0" borderId="6" xfId="0" applyNumberFormat="1" applyFont="1" applyBorder="1"/>
    <xf numFmtId="43" fontId="5" fillId="0" borderId="0" xfId="0" applyNumberFormat="1" applyFont="1" applyBorder="1"/>
    <xf numFmtId="43" fontId="5" fillId="0" borderId="6" xfId="0" applyNumberFormat="1" applyFont="1" applyBorder="1"/>
    <xf numFmtId="168" fontId="5" fillId="0" borderId="0" xfId="0" applyNumberFormat="1" applyFont="1"/>
    <xf numFmtId="43" fontId="5" fillId="0" borderId="0" xfId="1" applyFont="1" applyBorder="1"/>
    <xf numFmtId="0" fontId="11" fillId="0" borderId="7" xfId="0" applyFont="1" applyBorder="1"/>
    <xf numFmtId="0" fontId="11" fillId="0" borderId="1" xfId="0" applyFont="1" applyBorder="1"/>
    <xf numFmtId="165" fontId="11" fillId="0" borderId="1" xfId="0" applyNumberFormat="1" applyFont="1" applyBorder="1"/>
    <xf numFmtId="10" fontId="11" fillId="0" borderId="1" xfId="2" applyNumberFormat="1" applyFont="1" applyBorder="1"/>
    <xf numFmtId="10" fontId="11" fillId="0" borderId="8" xfId="2" applyNumberFormat="1" applyFont="1" applyBorder="1"/>
    <xf numFmtId="165" fontId="5" fillId="0" borderId="0" xfId="0" applyNumberFormat="1" applyFont="1"/>
    <xf numFmtId="10" fontId="5" fillId="0" borderId="0" xfId="2" applyNumberFormat="1" applyFont="1"/>
    <xf numFmtId="165" fontId="5" fillId="0" borderId="0" xfId="1" applyNumberFormat="1" applyFont="1"/>
    <xf numFmtId="43" fontId="5" fillId="0" borderId="0" xfId="1" applyNumberFormat="1" applyFont="1"/>
    <xf numFmtId="0" fontId="5" fillId="0" borderId="0" xfId="0" applyFont="1" applyAlignment="1">
      <alignment horizontal="right"/>
    </xf>
    <xf numFmtId="6" fontId="5" fillId="0" borderId="2" xfId="0" applyNumberFormat="1" applyFont="1" applyBorder="1"/>
    <xf numFmtId="6" fontId="5" fillId="0" borderId="4" xfId="0" applyNumberFormat="1" applyFont="1" applyBorder="1"/>
    <xf numFmtId="6" fontId="5" fillId="0" borderId="5" xfId="0" applyNumberFormat="1" applyFont="1" applyBorder="1"/>
    <xf numFmtId="164" fontId="12" fillId="0" borderId="0" xfId="0" applyNumberFormat="1" applyFont="1"/>
    <xf numFmtId="0" fontId="12" fillId="2" borderId="0" xfId="0" applyFont="1" applyFill="1" applyAlignment="1">
      <alignment horizontal="right"/>
    </xf>
    <xf numFmtId="10" fontId="12" fillId="2" borderId="0" xfId="0" applyNumberFormat="1" applyFont="1" applyFill="1"/>
    <xf numFmtId="10" fontId="12" fillId="2" borderId="0" xfId="2" applyNumberFormat="1" applyFont="1" applyFill="1"/>
    <xf numFmtId="0" fontId="11" fillId="0" borderId="0" xfId="0" applyFont="1" applyAlignment="1">
      <alignment horizontal="left"/>
    </xf>
    <xf numFmtId="0" fontId="11" fillId="0" borderId="0" xfId="0" applyFont="1"/>
    <xf numFmtId="9" fontId="11" fillId="0" borderId="0" xfId="2" applyFont="1"/>
    <xf numFmtId="167" fontId="5" fillId="0" borderId="0" xfId="0" applyNumberFormat="1" applyFont="1"/>
    <xf numFmtId="0" fontId="12" fillId="2" borderId="0" xfId="0" applyFont="1" applyFill="1"/>
    <xf numFmtId="6" fontId="12" fillId="2" borderId="0" xfId="0" applyNumberFormat="1" applyFont="1" applyFill="1"/>
    <xf numFmtId="0" fontId="6" fillId="0" borderId="0" xfId="0" applyFont="1" applyAlignment="1">
      <alignment horizontal="center"/>
    </xf>
    <xf numFmtId="6" fontId="5" fillId="3" borderId="0" xfId="0" applyNumberFormat="1" applyFont="1" applyFill="1"/>
    <xf numFmtId="0" fontId="5" fillId="3" borderId="0" xfId="0" applyFont="1" applyFill="1"/>
    <xf numFmtId="0" fontId="5" fillId="3" borderId="7" xfId="0" applyFont="1" applyFill="1" applyBorder="1"/>
    <xf numFmtId="6" fontId="5" fillId="3" borderId="8" xfId="0" applyNumberFormat="1" applyFont="1" applyFill="1" applyBorder="1"/>
    <xf numFmtId="166" fontId="5" fillId="0" borderId="0" xfId="0" applyNumberFormat="1" applyFont="1" applyBorder="1"/>
    <xf numFmtId="0" fontId="7" fillId="0" borderId="0" xfId="0" applyFont="1" applyBorder="1" applyAlignment="1"/>
    <xf numFmtId="0" fontId="0" fillId="0" borderId="8" xfId="0" applyBorder="1"/>
    <xf numFmtId="0" fontId="4" fillId="0" borderId="2" xfId="0" applyFont="1" applyBorder="1"/>
    <xf numFmtId="6" fontId="16" fillId="0" borderId="6" xfId="0" applyNumberFormat="1" applyFont="1" applyBorder="1"/>
    <xf numFmtId="164" fontId="16" fillId="0" borderId="6" xfId="2" applyNumberFormat="1" applyFont="1" applyBorder="1"/>
    <xf numFmtId="0" fontId="16" fillId="0" borderId="6" xfId="0" applyFont="1" applyBorder="1"/>
    <xf numFmtId="164" fontId="16" fillId="0" borderId="8" xfId="2" applyNumberFormat="1" applyFont="1" applyBorder="1"/>
    <xf numFmtId="10" fontId="5" fillId="0" borderId="2" xfId="2" applyNumberFormat="1" applyFont="1" applyBorder="1"/>
    <xf numFmtId="10" fontId="5" fillId="0" borderId="3" xfId="2" applyNumberFormat="1" applyFont="1" applyBorder="1"/>
    <xf numFmtId="10" fontId="5" fillId="0" borderId="4" xfId="2" applyNumberFormat="1" applyFont="1" applyBorder="1"/>
    <xf numFmtId="10" fontId="5" fillId="0" borderId="5" xfId="2" applyNumberFormat="1" applyFont="1" applyBorder="1"/>
    <xf numFmtId="10" fontId="5" fillId="0" borderId="7" xfId="2" applyNumberFormat="1" applyFont="1" applyBorder="1"/>
    <xf numFmtId="6" fontId="17" fillId="0" borderId="6" xfId="0" applyNumberFormat="1" applyFont="1" applyBorder="1"/>
    <xf numFmtId="164" fontId="17" fillId="0" borderId="6" xfId="2" applyNumberFormat="1" applyFont="1" applyBorder="1"/>
    <xf numFmtId="0" fontId="0" fillId="2" borderId="0" xfId="0" applyFill="1"/>
    <xf numFmtId="0" fontId="14" fillId="2" borderId="0" xfId="0" applyFont="1" applyFill="1" applyAlignment="1">
      <alignment horizontal="center"/>
    </xf>
    <xf numFmtId="0" fontId="13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12" fillId="2" borderId="0" xfId="0" applyFont="1" applyFill="1" applyAlignment="1">
      <alignment horizontal="right"/>
    </xf>
    <xf numFmtId="0" fontId="15" fillId="0" borderId="0" xfId="0" applyFont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6F6F6"/>
      <color rgb="FFEFEF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527908</xdr:colOff>
      <xdr:row>14</xdr:row>
      <xdr:rowOff>62103</xdr:rowOff>
    </xdr:from>
    <xdr:ext cx="264560" cy="866135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C9ECC78A-5B6E-4CA6-9010-FF84DF33BF6F}"/>
            </a:ext>
          </a:extLst>
        </xdr:cNvPr>
        <xdr:cNvSpPr txBox="1"/>
      </xdr:nvSpPr>
      <xdr:spPr>
        <a:xfrm rot="16200000">
          <a:off x="10889598" y="1964195"/>
          <a:ext cx="86613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Hurdle</a:t>
          </a:r>
          <a:r>
            <a:rPr lang="en-US" sz="1100" baseline="0"/>
            <a:t> Rate</a:t>
          </a:r>
          <a:endParaRPr lang="en-US" sz="1100"/>
        </a:p>
      </xdr:txBody>
    </xdr:sp>
    <xdr:clientData/>
  </xdr:oneCellAnchor>
  <xdr:oneCellAnchor>
    <xdr:from>
      <xdr:col>19</xdr:col>
      <xdr:colOff>472690</xdr:colOff>
      <xdr:row>14</xdr:row>
      <xdr:rowOff>78668</xdr:rowOff>
    </xdr:from>
    <xdr:ext cx="264560" cy="866135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54D6BF8-AEAB-4EC1-9CEB-6A8E862C128D}"/>
            </a:ext>
          </a:extLst>
        </xdr:cNvPr>
        <xdr:cNvSpPr txBox="1"/>
      </xdr:nvSpPr>
      <xdr:spPr>
        <a:xfrm rot="16200000">
          <a:off x="15179989" y="1980760"/>
          <a:ext cx="86613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Hurdle</a:t>
          </a:r>
          <a:r>
            <a:rPr lang="en-US" sz="1100" baseline="0"/>
            <a:t> Rate</a:t>
          </a:r>
          <a:endParaRPr lang="en-US" sz="1100"/>
        </a:p>
      </xdr:txBody>
    </xdr:sp>
    <xdr:clientData/>
  </xdr:oneCellAnchor>
  <xdr:oneCellAnchor>
    <xdr:from>
      <xdr:col>15</xdr:col>
      <xdr:colOff>527908</xdr:colOff>
      <xdr:row>24</xdr:row>
      <xdr:rowOff>62103</xdr:rowOff>
    </xdr:from>
    <xdr:ext cx="264560" cy="866135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F3E20832-31E4-402F-B9A3-13EF224C3738}"/>
            </a:ext>
          </a:extLst>
        </xdr:cNvPr>
        <xdr:cNvSpPr txBox="1"/>
      </xdr:nvSpPr>
      <xdr:spPr>
        <a:xfrm rot="16200000">
          <a:off x="10901470" y="1982141"/>
          <a:ext cx="86613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Hurdle</a:t>
          </a:r>
          <a:r>
            <a:rPr lang="en-US" sz="1100" baseline="0"/>
            <a:t> Rate</a:t>
          </a:r>
          <a:endParaRPr lang="en-US" sz="1100"/>
        </a:p>
      </xdr:txBody>
    </xdr:sp>
    <xdr:clientData/>
  </xdr:oneCellAnchor>
  <xdr:twoCellAnchor editAs="oneCell">
    <xdr:from>
      <xdr:col>1</xdr:col>
      <xdr:colOff>65690</xdr:colOff>
      <xdr:row>0</xdr:row>
      <xdr:rowOff>175174</xdr:rowOff>
    </xdr:from>
    <xdr:to>
      <xdr:col>4</xdr:col>
      <xdr:colOff>1246805</xdr:colOff>
      <xdr:row>1</xdr:row>
      <xdr:rowOff>591207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E4F4899-534D-3E43-93DC-640CE36EEC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483" y="175174"/>
          <a:ext cx="5166288" cy="6131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599AB-6DB3-4B9E-85A4-8E28EB2838A8}">
  <dimension ref="A1:BC130"/>
  <sheetViews>
    <sheetView showGridLines="0" tabSelected="1" zoomScale="80" zoomScaleNormal="80" workbookViewId="0">
      <selection activeCell="B45" sqref="B45"/>
    </sheetView>
  </sheetViews>
  <sheetFormatPr baseColWidth="10" defaultColWidth="8.83203125" defaultRowHeight="15" x14ac:dyDescent="0.2"/>
  <cols>
    <col min="2" max="2" width="30.6640625" customWidth="1"/>
    <col min="3" max="3" width="12.6640625" customWidth="1"/>
    <col min="5" max="5" width="33.6640625" customWidth="1"/>
    <col min="6" max="6" width="11.5" customWidth="1"/>
    <col min="7" max="7" width="9.5" bestFit="1" customWidth="1"/>
    <col min="8" max="8" width="10.83203125" bestFit="1" customWidth="1"/>
    <col min="12" max="12" width="9.33203125" bestFit="1" customWidth="1"/>
    <col min="13" max="13" width="12.6640625" customWidth="1"/>
    <col min="15" max="15" width="9.6640625" bestFit="1" customWidth="1"/>
    <col min="20" max="20" width="9.83203125" bestFit="1" customWidth="1"/>
  </cols>
  <sheetData>
    <row r="1" spans="1:55" x14ac:dyDescent="0.2">
      <c r="A1" s="137"/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  <c r="S1" s="137"/>
      <c r="T1" s="137"/>
      <c r="U1" s="137"/>
      <c r="V1" s="137"/>
      <c r="W1" s="137"/>
      <c r="X1" s="137"/>
      <c r="Y1" s="137"/>
      <c r="Z1" s="137"/>
      <c r="AA1" s="137"/>
      <c r="AB1" s="137"/>
      <c r="AC1" s="137"/>
      <c r="AD1" s="137"/>
      <c r="AE1" s="137"/>
      <c r="AF1" s="137"/>
      <c r="AG1" s="137"/>
      <c r="AH1" s="137"/>
      <c r="AI1" s="137"/>
      <c r="AJ1" s="137"/>
      <c r="AK1" s="137"/>
      <c r="AL1" s="137"/>
      <c r="AM1" s="137"/>
      <c r="AN1" s="137"/>
      <c r="AO1" s="137"/>
      <c r="AP1" s="137"/>
      <c r="AQ1" s="137"/>
      <c r="AR1" s="137"/>
      <c r="AS1" s="137"/>
      <c r="AT1" s="137"/>
      <c r="AU1" s="137"/>
      <c r="AV1" s="137"/>
      <c r="AW1" s="137"/>
      <c r="AX1" s="137"/>
      <c r="AY1" s="137"/>
      <c r="AZ1" s="137"/>
      <c r="BA1" s="137"/>
      <c r="BB1" s="137"/>
      <c r="BC1" s="137"/>
    </row>
    <row r="2" spans="1:55" ht="56" customHeight="1" x14ac:dyDescent="0.55000000000000004">
      <c r="A2" s="137"/>
      <c r="B2" s="138"/>
      <c r="C2" s="138"/>
      <c r="D2" s="138"/>
      <c r="E2" s="138"/>
      <c r="F2" s="138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37"/>
      <c r="AB2" s="137"/>
      <c r="AC2" s="137"/>
      <c r="AD2" s="137"/>
      <c r="AE2" s="137"/>
      <c r="AF2" s="137"/>
      <c r="AG2" s="137"/>
      <c r="AH2" s="137"/>
      <c r="AI2" s="137"/>
      <c r="AJ2" s="137"/>
      <c r="AK2" s="137"/>
      <c r="AL2" s="137"/>
      <c r="AM2" s="137"/>
      <c r="AN2" s="137"/>
      <c r="AO2" s="137"/>
      <c r="AP2" s="137"/>
      <c r="AQ2" s="137"/>
      <c r="AR2" s="137"/>
      <c r="AS2" s="137"/>
      <c r="AT2" s="137"/>
      <c r="AU2" s="137"/>
      <c r="AV2" s="137"/>
      <c r="AW2" s="137"/>
      <c r="AX2" s="137"/>
      <c r="AY2" s="137"/>
      <c r="AZ2" s="137"/>
      <c r="BA2" s="137"/>
      <c r="BB2" s="137"/>
      <c r="BC2" s="137"/>
    </row>
    <row r="3" spans="1:55" ht="20" customHeight="1" x14ac:dyDescent="0.2">
      <c r="B3" s="139" t="s">
        <v>70</v>
      </c>
      <c r="C3" s="139"/>
      <c r="D3" s="139"/>
      <c r="E3" s="139"/>
      <c r="F3" s="139"/>
    </row>
    <row r="4" spans="1:55" ht="27.5" customHeight="1" x14ac:dyDescent="0.25">
      <c r="B4" s="140" t="s">
        <v>50</v>
      </c>
      <c r="C4" s="140"/>
      <c r="D4" s="140"/>
      <c r="E4" s="140"/>
      <c r="F4" s="140"/>
    </row>
    <row r="5" spans="1:55" ht="14.5" customHeight="1" x14ac:dyDescent="0.2">
      <c r="B5" s="141" t="s">
        <v>28</v>
      </c>
      <c r="C5" s="141"/>
      <c r="D5" s="141"/>
      <c r="E5" s="141"/>
      <c r="F5" s="141"/>
    </row>
    <row r="6" spans="1:55" ht="14.5" customHeight="1" x14ac:dyDescent="0.2">
      <c r="B6" s="117"/>
      <c r="C6" s="117"/>
      <c r="D6" s="117"/>
      <c r="E6" s="117"/>
      <c r="F6" s="117"/>
    </row>
    <row r="7" spans="1:55" ht="14.5" customHeight="1" x14ac:dyDescent="0.2">
      <c r="B7" s="117"/>
      <c r="C7" s="117"/>
      <c r="D7" s="117"/>
      <c r="E7" s="117"/>
      <c r="F7" s="117"/>
    </row>
    <row r="8" spans="1:55" ht="23" x14ac:dyDescent="0.25">
      <c r="B8" s="25" t="s">
        <v>8</v>
      </c>
      <c r="C8" s="26"/>
      <c r="D8" s="24"/>
      <c r="E8" s="27" t="s">
        <v>45</v>
      </c>
      <c r="F8" s="28"/>
      <c r="G8" s="28"/>
      <c r="H8" s="28"/>
      <c r="I8" s="28"/>
      <c r="J8" s="28"/>
      <c r="K8" s="26"/>
      <c r="L8" s="24"/>
      <c r="M8" s="125" t="s">
        <v>51</v>
      </c>
      <c r="N8" s="21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2"/>
    </row>
    <row r="9" spans="1:55" x14ac:dyDescent="0.2">
      <c r="B9" s="29" t="s">
        <v>55</v>
      </c>
      <c r="C9" s="30"/>
      <c r="D9" s="24"/>
      <c r="E9" s="31"/>
      <c r="F9" s="32">
        <v>0</v>
      </c>
      <c r="G9" s="32" t="s">
        <v>3</v>
      </c>
      <c r="H9" s="33" t="s">
        <v>4</v>
      </c>
      <c r="I9" s="33" t="s">
        <v>5</v>
      </c>
      <c r="J9" s="33" t="s">
        <v>6</v>
      </c>
      <c r="K9" s="34" t="s">
        <v>7</v>
      </c>
      <c r="L9" s="24"/>
      <c r="M9" s="31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23"/>
    </row>
    <row r="10" spans="1:55" x14ac:dyDescent="0.2">
      <c r="B10" s="31" t="s">
        <v>54</v>
      </c>
      <c r="C10" s="135">
        <v>1500</v>
      </c>
      <c r="D10" s="24"/>
      <c r="E10" s="31" t="s">
        <v>0</v>
      </c>
      <c r="F10" s="36"/>
      <c r="G10" s="37">
        <f>C10</f>
        <v>1500</v>
      </c>
      <c r="H10" s="37">
        <f>C10*(1+C19)</f>
        <v>1500</v>
      </c>
      <c r="I10" s="37">
        <f>H10*(1+$C$19)</f>
        <v>1500</v>
      </c>
      <c r="J10" s="37">
        <f>I10*(1+$C$19)</f>
        <v>1500</v>
      </c>
      <c r="K10" s="35">
        <f>J10*(1+$C$19)</f>
        <v>1500</v>
      </c>
      <c r="L10" s="38"/>
      <c r="M10" s="31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23"/>
    </row>
    <row r="11" spans="1:55" ht="16" x14ac:dyDescent="0.2">
      <c r="B11" s="31" t="s">
        <v>56</v>
      </c>
      <c r="C11" s="135">
        <v>1000</v>
      </c>
      <c r="D11" s="24"/>
      <c r="E11" s="31"/>
      <c r="F11" s="36"/>
      <c r="G11" s="36"/>
      <c r="H11" s="36"/>
      <c r="I11" s="36"/>
      <c r="J11" s="36"/>
      <c r="K11" s="30"/>
      <c r="L11" s="24"/>
      <c r="M11" s="31"/>
      <c r="N11" s="147" t="s">
        <v>71</v>
      </c>
      <c r="O11" s="147"/>
      <c r="P11" s="147"/>
      <c r="Q11" s="147"/>
      <c r="R11" s="147"/>
      <c r="S11" s="147"/>
      <c r="T11" s="147"/>
      <c r="U11" s="147"/>
      <c r="V11" s="147"/>
      <c r="W11" s="147"/>
      <c r="X11" s="147"/>
      <c r="Y11" s="147"/>
      <c r="Z11" s="147"/>
      <c r="AA11" s="23"/>
    </row>
    <row r="12" spans="1:55" x14ac:dyDescent="0.2">
      <c r="B12" s="31" t="s">
        <v>57</v>
      </c>
      <c r="C12" s="136">
        <v>0.2</v>
      </c>
      <c r="D12" s="24"/>
      <c r="E12" s="31" t="s">
        <v>1</v>
      </c>
      <c r="F12" s="36"/>
      <c r="G12" s="41">
        <f>((G10/$C$11*$C$12)-($C$13*$C$14)-$C$15)/(1-$C$13)</f>
        <v>0.8500000000000002</v>
      </c>
      <c r="H12" s="41">
        <f>((H10/$C$11*$C$12)-($C$13*$C$14)-$C$15)/(1-$C$13)</f>
        <v>0.8500000000000002</v>
      </c>
      <c r="I12" s="41">
        <f>((I10/$C$11*$C$12)-($C$13*$C$14)-$C$15)/(1-$C$13)</f>
        <v>0.8500000000000002</v>
      </c>
      <c r="J12" s="41">
        <f>((J10/$C$11*$C$12)-($C$13*$C$14)-$C$15)/(1-$C$13)</f>
        <v>0.8500000000000002</v>
      </c>
      <c r="K12" s="42">
        <f>((K10/$C$11*$C$12)-($C$13*$C$14)-$C$15)/(1-$C$13)</f>
        <v>0.8500000000000002</v>
      </c>
      <c r="L12" s="24"/>
      <c r="M12" s="31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23"/>
    </row>
    <row r="13" spans="1:55" x14ac:dyDescent="0.2">
      <c r="B13" s="31" t="s">
        <v>58</v>
      </c>
      <c r="C13" s="136">
        <v>0.75</v>
      </c>
      <c r="D13" s="24"/>
      <c r="E13" s="44" t="s">
        <v>16</v>
      </c>
      <c r="F13" s="36"/>
      <c r="G13" s="45"/>
      <c r="H13" s="46">
        <f>H12-G12</f>
        <v>0</v>
      </c>
      <c r="I13" s="46">
        <f>I12-H12</f>
        <v>0</v>
      </c>
      <c r="J13" s="46">
        <f>J12-I12</f>
        <v>0</v>
      </c>
      <c r="K13" s="47">
        <f>K12-J12</f>
        <v>0</v>
      </c>
      <c r="L13" s="24"/>
      <c r="M13" s="31"/>
      <c r="N13" s="36"/>
      <c r="O13" s="145" t="s">
        <v>29</v>
      </c>
      <c r="P13" s="145"/>
      <c r="Q13" s="145"/>
      <c r="R13" s="145"/>
      <c r="S13" s="145"/>
      <c r="T13" s="36"/>
      <c r="U13" s="36"/>
      <c r="V13" s="145" t="s">
        <v>2</v>
      </c>
      <c r="W13" s="145"/>
      <c r="X13" s="145"/>
      <c r="Y13" s="145"/>
      <c r="Z13" s="145"/>
      <c r="AA13" s="23"/>
    </row>
    <row r="14" spans="1:55" x14ac:dyDescent="0.2">
      <c r="B14" s="31" t="s">
        <v>59</v>
      </c>
      <c r="C14" s="136">
        <v>0.09</v>
      </c>
      <c r="D14" s="24"/>
      <c r="E14" s="48" t="s">
        <v>15</v>
      </c>
      <c r="F14" s="49"/>
      <c r="G14" s="50">
        <f>G12*(1-C17)</f>
        <v>0.63750000000000018</v>
      </c>
      <c r="H14" s="50">
        <f>H12*(1-$C$17)</f>
        <v>0.63750000000000018</v>
      </c>
      <c r="I14" s="50">
        <f>I12*(1-$C$17)</f>
        <v>0.63750000000000018</v>
      </c>
      <c r="J14" s="50">
        <f>J12*(1-$C$17)</f>
        <v>0.63750000000000018</v>
      </c>
      <c r="K14" s="51">
        <f>K12*(1-$C$17)</f>
        <v>0.63750000000000018</v>
      </c>
      <c r="L14" s="52"/>
      <c r="M14" s="31"/>
      <c r="N14" s="122">
        <f>F56</f>
        <v>0.63750000000000018</v>
      </c>
      <c r="O14" s="43">
        <v>0</v>
      </c>
      <c r="P14" s="43">
        <v>0.25</v>
      </c>
      <c r="Q14" s="43">
        <v>0.5</v>
      </c>
      <c r="R14" s="43">
        <v>0.75</v>
      </c>
      <c r="S14" s="43">
        <v>1</v>
      </c>
      <c r="T14" s="36"/>
      <c r="U14" s="122">
        <f>F56</f>
        <v>0.63750000000000018</v>
      </c>
      <c r="V14" s="43">
        <v>0</v>
      </c>
      <c r="W14" s="43">
        <v>0.25</v>
      </c>
      <c r="X14" s="43">
        <v>0.5</v>
      </c>
      <c r="Y14" s="43">
        <v>0.75</v>
      </c>
      <c r="Z14" s="43">
        <v>1</v>
      </c>
      <c r="AA14" s="23"/>
    </row>
    <row r="15" spans="1:55" x14ac:dyDescent="0.2">
      <c r="B15" s="31" t="s">
        <v>60</v>
      </c>
      <c r="C15" s="136">
        <v>0.02</v>
      </c>
      <c r="D15" s="24"/>
      <c r="E15" s="24"/>
      <c r="F15" s="24"/>
      <c r="G15" s="24"/>
      <c r="H15" s="24"/>
      <c r="I15" s="24"/>
      <c r="J15" s="24"/>
      <c r="K15" s="24"/>
      <c r="L15" s="24"/>
      <c r="M15" s="31"/>
      <c r="N15" s="43">
        <v>0.05</v>
      </c>
      <c r="O15" s="130">
        <f t="dataTable" ref="O15:S19" dt2D="1" dtr="1" r1="C22" r2="C23" ca="1"/>
        <v>1.5020270442865149</v>
      </c>
      <c r="P15" s="131">
        <v>1.3234311882600238</v>
      </c>
      <c r="Q15" s="131">
        <v>1.14319308025012</v>
      </c>
      <c r="R15" s="131">
        <v>0.96294453358211385</v>
      </c>
      <c r="S15" s="132">
        <v>0.78589799301960106</v>
      </c>
      <c r="T15" s="36"/>
      <c r="U15" s="43">
        <v>0.05</v>
      </c>
      <c r="V15" s="130">
        <f t="dataTable" ref="V15:Z19" dt2D="1" dtr="1" r1="C21" r2="C23"/>
        <v>1.5020270442865149</v>
      </c>
      <c r="W15" s="131">
        <v>1.3160044381399372</v>
      </c>
      <c r="X15" s="131">
        <v>1.1290717601965281</v>
      </c>
      <c r="Y15" s="131">
        <v>0.94274558787760965</v>
      </c>
      <c r="Z15" s="132">
        <v>0.7600954529572983</v>
      </c>
      <c r="AA15" s="23"/>
    </row>
    <row r="16" spans="1:55" x14ac:dyDescent="0.2">
      <c r="B16" s="29" t="s">
        <v>61</v>
      </c>
      <c r="C16" s="128"/>
      <c r="D16" s="24"/>
      <c r="E16" s="27" t="s">
        <v>46</v>
      </c>
      <c r="F16" s="28"/>
      <c r="G16" s="28"/>
      <c r="H16" s="28"/>
      <c r="I16" s="28"/>
      <c r="J16" s="28"/>
      <c r="K16" s="26"/>
      <c r="L16" s="24"/>
      <c r="M16" s="31"/>
      <c r="N16" s="43">
        <v>0.1</v>
      </c>
      <c r="O16" s="133">
        <v>1.2057804133936205</v>
      </c>
      <c r="P16" s="41">
        <v>1.0620067645917493</v>
      </c>
      <c r="Q16" s="41">
        <v>0.91770666049824912</v>
      </c>
      <c r="R16" s="41">
        <v>0.77512083936222087</v>
      </c>
      <c r="S16" s="42">
        <v>0.63801360014004516</v>
      </c>
      <c r="T16" s="36"/>
      <c r="U16" s="43">
        <v>0.1</v>
      </c>
      <c r="V16" s="133">
        <v>1.2057804133936205</v>
      </c>
      <c r="W16" s="41">
        <v>1.0499716310734342</v>
      </c>
      <c r="X16" s="41">
        <v>0.89545580877980191</v>
      </c>
      <c r="Y16" s="41">
        <v>0.74449439740573653</v>
      </c>
      <c r="Z16" s="42">
        <v>0.60095227308272325</v>
      </c>
      <c r="AA16" s="23"/>
    </row>
    <row r="17" spans="2:27" x14ac:dyDescent="0.2">
      <c r="B17" s="31" t="s">
        <v>62</v>
      </c>
      <c r="C17" s="127">
        <v>0.25</v>
      </c>
      <c r="D17" s="24"/>
      <c r="E17" s="31"/>
      <c r="F17" s="36"/>
      <c r="G17" s="36"/>
      <c r="H17" s="36"/>
      <c r="I17" s="36"/>
      <c r="J17" s="36"/>
      <c r="K17" s="30"/>
      <c r="L17" s="24"/>
      <c r="M17" s="31"/>
      <c r="N17" s="43">
        <v>0.2</v>
      </c>
      <c r="O17" s="133">
        <v>0.96503626409356591</v>
      </c>
      <c r="P17" s="41">
        <v>0.85664563586523412</v>
      </c>
      <c r="Q17" s="41">
        <v>0.74749517843069291</v>
      </c>
      <c r="R17" s="41">
        <v>0.64007646544574559</v>
      </c>
      <c r="S17" s="42">
        <v>0.53796035458629343</v>
      </c>
      <c r="T17" s="36"/>
      <c r="U17" s="43">
        <v>0.2</v>
      </c>
      <c r="V17" s="133">
        <v>0.96503626409356591</v>
      </c>
      <c r="W17" s="41">
        <v>0.83818434215669502</v>
      </c>
      <c r="X17" s="41">
        <v>0.71476087653578313</v>
      </c>
      <c r="Y17" s="41">
        <v>0.59729857387393603</v>
      </c>
      <c r="Z17" s="42">
        <v>0.48941212371160203</v>
      </c>
      <c r="AA17" s="23"/>
    </row>
    <row r="18" spans="2:27" x14ac:dyDescent="0.2">
      <c r="B18" s="31" t="s">
        <v>63</v>
      </c>
      <c r="C18" s="126">
        <v>250</v>
      </c>
      <c r="D18" s="24"/>
      <c r="E18" s="31" t="s">
        <v>27</v>
      </c>
      <c r="F18" s="37"/>
      <c r="G18" s="37">
        <f>C11*(1-C13)</f>
        <v>250</v>
      </c>
      <c r="H18" s="37">
        <f>G18+G23</f>
        <v>409.37500000000006</v>
      </c>
      <c r="I18" s="37">
        <f>H18+H23</f>
        <v>670.35156250000023</v>
      </c>
      <c r="J18" s="37">
        <f>I18+I23</f>
        <v>1097.7006835937505</v>
      </c>
      <c r="K18" s="35">
        <f>J18+J23</f>
        <v>1797.4848693847666</v>
      </c>
      <c r="L18" s="24"/>
      <c r="M18" s="31"/>
      <c r="N18" s="43">
        <v>0.85</v>
      </c>
      <c r="O18" s="133">
        <v>0.63750000000000018</v>
      </c>
      <c r="P18" s="41">
        <v>0.59818430795518895</v>
      </c>
      <c r="Q18" s="41">
        <v>0.54920895192924868</v>
      </c>
      <c r="R18" s="41">
        <v>0.49477905345653883</v>
      </c>
      <c r="S18" s="42">
        <v>0.43884763499751211</v>
      </c>
      <c r="T18" s="36"/>
      <c r="U18" s="43">
        <v>0.85</v>
      </c>
      <c r="V18" s="133">
        <v>0.63750000000000018</v>
      </c>
      <c r="W18" s="41">
        <v>0.5637702178429469</v>
      </c>
      <c r="X18" s="41">
        <v>0.49442322309513465</v>
      </c>
      <c r="Y18" s="41">
        <v>0.43066409097773017</v>
      </c>
      <c r="Z18" s="42">
        <v>0.37371712371653443</v>
      </c>
      <c r="AA18" s="23"/>
    </row>
    <row r="19" spans="2:27" x14ac:dyDescent="0.2">
      <c r="B19" s="31" t="s">
        <v>64</v>
      </c>
      <c r="C19" s="127">
        <v>0</v>
      </c>
      <c r="D19" s="24"/>
      <c r="E19" s="31"/>
      <c r="F19" s="53"/>
      <c r="G19" s="54"/>
      <c r="H19" s="54"/>
      <c r="I19" s="54"/>
      <c r="J19" s="54"/>
      <c r="K19" s="55"/>
      <c r="L19" s="24"/>
      <c r="M19" s="31"/>
      <c r="N19" s="43">
        <v>1.25</v>
      </c>
      <c r="O19" s="134">
        <v>0.58640989568914237</v>
      </c>
      <c r="P19" s="50">
        <v>0.56140836490797641</v>
      </c>
      <c r="Q19" s="50">
        <v>0.52314354990054102</v>
      </c>
      <c r="R19" s="50">
        <v>0.4769894646318007</v>
      </c>
      <c r="S19" s="51">
        <v>0.42747004592973048</v>
      </c>
      <c r="T19" s="36"/>
      <c r="U19" s="43">
        <v>1.25</v>
      </c>
      <c r="V19" s="134">
        <v>0.58640989568914237</v>
      </c>
      <c r="W19" s="50">
        <v>0.52342410742988132</v>
      </c>
      <c r="X19" s="50">
        <v>0.46411130832531833</v>
      </c>
      <c r="Y19" s="50">
        <v>0.40933688276476432</v>
      </c>
      <c r="Z19" s="51">
        <v>0.35996572968794593</v>
      </c>
      <c r="AA19" s="23"/>
    </row>
    <row r="20" spans="2:27" x14ac:dyDescent="0.2">
      <c r="B20" s="31" t="s">
        <v>65</v>
      </c>
      <c r="C20" s="128">
        <v>100</v>
      </c>
      <c r="D20" s="24"/>
      <c r="E20" s="31" t="s">
        <v>9</v>
      </c>
      <c r="F20" s="36"/>
      <c r="G20" s="37">
        <f>G30</f>
        <v>159.37500000000006</v>
      </c>
      <c r="H20" s="37">
        <f t="shared" ref="H20:K20" si="0">H30</f>
        <v>260.97656250000011</v>
      </c>
      <c r="I20" s="37">
        <f t="shared" si="0"/>
        <v>427.34912109375023</v>
      </c>
      <c r="J20" s="37">
        <f t="shared" si="0"/>
        <v>699.78418579101606</v>
      </c>
      <c r="K20" s="35">
        <f t="shared" si="0"/>
        <v>1145.8966042327888</v>
      </c>
      <c r="L20" s="24"/>
      <c r="M20" s="31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23"/>
    </row>
    <row r="21" spans="2:27" ht="16" x14ac:dyDescent="0.2">
      <c r="B21" s="31" t="s">
        <v>66</v>
      </c>
      <c r="C21" s="127">
        <v>0</v>
      </c>
      <c r="D21" s="24"/>
      <c r="E21" s="31" t="s">
        <v>42</v>
      </c>
      <c r="F21" s="36"/>
      <c r="G21" s="56">
        <f>-G20*$C$21</f>
        <v>0</v>
      </c>
      <c r="H21" s="56">
        <f>-H20*$C$21</f>
        <v>0</v>
      </c>
      <c r="I21" s="56">
        <f>-I20*$C$21</f>
        <v>0</v>
      </c>
      <c r="J21" s="56">
        <f>-J20*$C$21</f>
        <v>0</v>
      </c>
      <c r="K21" s="57">
        <f>-K20*$C$21</f>
        <v>0</v>
      </c>
      <c r="L21" s="24"/>
      <c r="M21" s="31"/>
      <c r="N21" s="36"/>
      <c r="O21" s="36"/>
      <c r="P21" s="123"/>
      <c r="Q21" s="147" t="s">
        <v>49</v>
      </c>
      <c r="R21" s="147"/>
      <c r="S21" s="147"/>
      <c r="T21" s="147"/>
      <c r="U21" s="147"/>
      <c r="V21" s="147"/>
      <c r="W21" s="123"/>
      <c r="X21" s="123"/>
      <c r="Y21" s="123"/>
      <c r="Z21" s="36"/>
      <c r="AA21" s="23"/>
    </row>
    <row r="22" spans="2:27" x14ac:dyDescent="0.2">
      <c r="B22" s="31" t="s">
        <v>67</v>
      </c>
      <c r="C22" s="127">
        <v>0</v>
      </c>
      <c r="D22" s="24"/>
      <c r="E22" s="31" t="s">
        <v>41</v>
      </c>
      <c r="F22" s="36"/>
      <c r="G22" s="61">
        <f>G20*-$C$22</f>
        <v>0</v>
      </c>
      <c r="H22" s="61">
        <f>H20*-$C$22</f>
        <v>0</v>
      </c>
      <c r="I22" s="61">
        <f>I20*-$C$22</f>
        <v>0</v>
      </c>
      <c r="J22" s="61">
        <f>J20*-$C$22</f>
        <v>0</v>
      </c>
      <c r="K22" s="62">
        <f>K20*-$C$22</f>
        <v>0</v>
      </c>
      <c r="L22" s="63"/>
      <c r="M22" s="31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23"/>
    </row>
    <row r="23" spans="2:27" x14ac:dyDescent="0.2">
      <c r="B23" s="48" t="s">
        <v>68</v>
      </c>
      <c r="C23" s="129">
        <v>0.85</v>
      </c>
      <c r="D23" s="24"/>
      <c r="E23" s="67" t="s">
        <v>32</v>
      </c>
      <c r="F23" s="68"/>
      <c r="G23" s="69">
        <f>G20+SUM(G21:G22)</f>
        <v>159.37500000000006</v>
      </c>
      <c r="H23" s="69">
        <f>H20+SUM(H21:H22)</f>
        <v>260.97656250000011</v>
      </c>
      <c r="I23" s="69">
        <f>I20+SUM(I21:I22)</f>
        <v>427.34912109375023</v>
      </c>
      <c r="J23" s="69">
        <f>J20+SUM(J21:J22)</f>
        <v>699.78418579101606</v>
      </c>
      <c r="K23" s="70">
        <f>K20+SUM(K21:K22)</f>
        <v>1145.8966042327888</v>
      </c>
      <c r="L23" s="24"/>
      <c r="M23" s="31"/>
      <c r="N23" s="36"/>
      <c r="O23" s="36"/>
      <c r="P23" s="36"/>
      <c r="Q23" s="36"/>
      <c r="R23" s="145" t="s">
        <v>2</v>
      </c>
      <c r="S23" s="145"/>
      <c r="T23" s="145"/>
      <c r="U23" s="145"/>
      <c r="V23" s="145"/>
      <c r="W23" s="36"/>
      <c r="X23" s="36"/>
      <c r="Y23" s="36"/>
      <c r="Z23" s="36"/>
      <c r="AA23" s="23"/>
    </row>
    <row r="24" spans="2:27" x14ac:dyDescent="0.2">
      <c r="B24" s="24"/>
      <c r="C24" s="24"/>
      <c r="D24" s="24"/>
      <c r="E24" s="31"/>
      <c r="F24" s="36"/>
      <c r="G24" s="36"/>
      <c r="H24" s="36"/>
      <c r="I24" s="36"/>
      <c r="J24" s="36"/>
      <c r="K24" s="30"/>
      <c r="L24" s="24"/>
      <c r="M24" s="31"/>
      <c r="N24" s="36"/>
      <c r="O24" s="36"/>
      <c r="P24" s="36"/>
      <c r="Q24" s="122">
        <f>K71</f>
        <v>1797.4848693847671</v>
      </c>
      <c r="R24" s="43">
        <v>0</v>
      </c>
      <c r="S24" s="43">
        <v>0.25</v>
      </c>
      <c r="T24" s="43">
        <v>0.5</v>
      </c>
      <c r="U24" s="43">
        <v>0.75</v>
      </c>
      <c r="V24" s="43">
        <v>1</v>
      </c>
      <c r="W24" s="36"/>
      <c r="X24" s="36"/>
      <c r="Y24" s="36"/>
      <c r="Z24" s="36"/>
      <c r="AA24" s="23"/>
    </row>
    <row r="25" spans="2:27" x14ac:dyDescent="0.2">
      <c r="B25" s="24"/>
      <c r="C25" s="71"/>
      <c r="D25" s="24"/>
      <c r="E25" s="31" t="s">
        <v>10</v>
      </c>
      <c r="F25" s="36"/>
      <c r="G25" s="56">
        <f>G18*G14</f>
        <v>159.37500000000006</v>
      </c>
      <c r="H25" s="56">
        <f>G18*H14</f>
        <v>159.37500000000006</v>
      </c>
      <c r="I25" s="56">
        <f>G18*I14</f>
        <v>159.37500000000006</v>
      </c>
      <c r="J25" s="56">
        <f>G18*J14</f>
        <v>159.37500000000006</v>
      </c>
      <c r="K25" s="57">
        <f>G18*K14</f>
        <v>159.37500000000006</v>
      </c>
      <c r="L25" s="24"/>
      <c r="M25" s="31"/>
      <c r="N25" s="36"/>
      <c r="O25" s="36"/>
      <c r="P25" s="36"/>
      <c r="Q25" s="43">
        <v>0.05</v>
      </c>
      <c r="R25" s="58">
        <f t="dataTable" ref="R25:V29" dt2D="1" dtr="1" r1="C21" r2="C23" ca="1"/>
        <v>30557.242779541033</v>
      </c>
      <c r="S25" s="59">
        <v>20287.735760140433</v>
      </c>
      <c r="T25" s="59">
        <v>12854.015539932258</v>
      </c>
      <c r="U25" s="59">
        <v>7678.6461586236974</v>
      </c>
      <c r="V25" s="60">
        <v>4250.0000000000009</v>
      </c>
      <c r="W25" s="36"/>
      <c r="X25" s="36"/>
      <c r="Y25" s="36"/>
      <c r="Z25" s="36"/>
      <c r="AA25" s="23"/>
    </row>
    <row r="26" spans="2:27" x14ac:dyDescent="0.2">
      <c r="B26" s="24"/>
      <c r="C26" s="24"/>
      <c r="D26" s="24"/>
      <c r="E26" s="31" t="s">
        <v>11</v>
      </c>
      <c r="F26" s="36"/>
      <c r="G26" s="56"/>
      <c r="H26" s="56">
        <f>G23*G14</f>
        <v>101.60156250000007</v>
      </c>
      <c r="I26" s="56">
        <f>G23*H14</f>
        <v>101.60156250000007</v>
      </c>
      <c r="J26" s="56">
        <f>G23*I14</f>
        <v>101.60156250000007</v>
      </c>
      <c r="K26" s="57">
        <f>G23*J14</f>
        <v>101.60156250000007</v>
      </c>
      <c r="L26" s="24"/>
      <c r="M26" s="31"/>
      <c r="N26" s="36"/>
      <c r="O26" s="36"/>
      <c r="P26" s="36"/>
      <c r="Q26" s="43">
        <v>0.1</v>
      </c>
      <c r="R26" s="64">
        <v>15278.621389770517</v>
      </c>
      <c r="S26" s="65">
        <v>10143.867880070216</v>
      </c>
      <c r="T26" s="65">
        <v>6427.0077699661288</v>
      </c>
      <c r="U26" s="65">
        <v>3839.3230793118487</v>
      </c>
      <c r="V26" s="66">
        <v>2125.0000000000005</v>
      </c>
      <c r="W26" s="36"/>
      <c r="X26" s="36"/>
      <c r="Y26" s="36"/>
      <c r="Z26" s="36"/>
      <c r="AA26" s="23"/>
    </row>
    <row r="27" spans="2:27" x14ac:dyDescent="0.2">
      <c r="B27" s="24"/>
      <c r="C27" s="24"/>
      <c r="D27" s="24"/>
      <c r="E27" s="31" t="s">
        <v>12</v>
      </c>
      <c r="F27" s="36"/>
      <c r="G27" s="56"/>
      <c r="H27" s="56"/>
      <c r="I27" s="56">
        <f>H23*G14</f>
        <v>166.37255859375011</v>
      </c>
      <c r="J27" s="56">
        <f>H23*H14</f>
        <v>166.37255859375011</v>
      </c>
      <c r="K27" s="57">
        <f>H23*I14</f>
        <v>166.37255859375011</v>
      </c>
      <c r="L27" s="24"/>
      <c r="M27" s="31"/>
      <c r="N27" s="36"/>
      <c r="O27" s="36"/>
      <c r="P27" s="36"/>
      <c r="Q27" s="43">
        <v>0.2</v>
      </c>
      <c r="R27" s="64">
        <v>7639.3106948852583</v>
      </c>
      <c r="S27" s="65">
        <v>5071.9339400351082</v>
      </c>
      <c r="T27" s="65">
        <v>3213.5038849830644</v>
      </c>
      <c r="U27" s="65">
        <v>1919.6615396559243</v>
      </c>
      <c r="V27" s="66">
        <v>1062.5000000000002</v>
      </c>
      <c r="W27" s="36"/>
      <c r="X27" s="36"/>
      <c r="Y27" s="36"/>
      <c r="Z27" s="36"/>
      <c r="AA27" s="23"/>
    </row>
    <row r="28" spans="2:27" x14ac:dyDescent="0.2">
      <c r="B28" s="24"/>
      <c r="C28" s="24"/>
      <c r="D28" s="24"/>
      <c r="E28" s="31" t="s">
        <v>13</v>
      </c>
      <c r="F28" s="36"/>
      <c r="G28" s="56"/>
      <c r="H28" s="56"/>
      <c r="I28" s="56"/>
      <c r="J28" s="56">
        <f>I23*G14</f>
        <v>272.43506469726583</v>
      </c>
      <c r="K28" s="57">
        <f>I23*H14</f>
        <v>272.43506469726583</v>
      </c>
      <c r="L28" s="24"/>
      <c r="M28" s="31"/>
      <c r="N28" s="36"/>
      <c r="O28" s="36"/>
      <c r="P28" s="36"/>
      <c r="Q28" s="43">
        <v>0.85</v>
      </c>
      <c r="R28" s="64">
        <v>1797.4848693847671</v>
      </c>
      <c r="S28" s="65">
        <v>1193.3962211847315</v>
      </c>
      <c r="T28" s="65">
        <v>756.1185611724859</v>
      </c>
      <c r="U28" s="65">
        <v>451.68506815433528</v>
      </c>
      <c r="V28" s="66">
        <v>250.00000000000011</v>
      </c>
      <c r="W28" s="36"/>
      <c r="X28" s="36"/>
      <c r="Y28" s="36"/>
      <c r="Z28" s="36"/>
      <c r="AA28" s="23"/>
    </row>
    <row r="29" spans="2:27" x14ac:dyDescent="0.2">
      <c r="B29" s="24"/>
      <c r="C29" s="24"/>
      <c r="D29" s="24"/>
      <c r="E29" s="31" t="s">
        <v>14</v>
      </c>
      <c r="F29" s="36"/>
      <c r="G29" s="75"/>
      <c r="H29" s="75"/>
      <c r="I29" s="75"/>
      <c r="J29" s="75"/>
      <c r="K29" s="76">
        <f>J23*G14</f>
        <v>446.11241844177289</v>
      </c>
      <c r="L29" s="24"/>
      <c r="M29" s="31"/>
      <c r="N29" s="36"/>
      <c r="O29" s="36"/>
      <c r="P29" s="36"/>
      <c r="Q29" s="43">
        <v>1.25</v>
      </c>
      <c r="R29" s="72">
        <v>1222.2897111816415</v>
      </c>
      <c r="S29" s="73">
        <v>811.50943040561742</v>
      </c>
      <c r="T29" s="73">
        <v>514.16062159729029</v>
      </c>
      <c r="U29" s="73">
        <v>307.14584634494798</v>
      </c>
      <c r="V29" s="74">
        <v>170.00000000000003</v>
      </c>
      <c r="W29" s="36"/>
      <c r="X29" s="36"/>
      <c r="Y29" s="36"/>
      <c r="Z29" s="36"/>
      <c r="AA29" s="23"/>
    </row>
    <row r="30" spans="2:27" x14ac:dyDescent="0.2">
      <c r="B30" s="24"/>
      <c r="C30" s="24"/>
      <c r="D30" s="24"/>
      <c r="E30" s="67" t="s">
        <v>17</v>
      </c>
      <c r="F30" s="68"/>
      <c r="G30" s="69">
        <f>SUM(G25:G29)</f>
        <v>159.37500000000006</v>
      </c>
      <c r="H30" s="69">
        <f>SUM(H25:H29)</f>
        <v>260.97656250000011</v>
      </c>
      <c r="I30" s="69">
        <f>SUM(I25:I29)</f>
        <v>427.34912109375023</v>
      </c>
      <c r="J30" s="69">
        <f>SUM(J25:J29)</f>
        <v>699.78418579101606</v>
      </c>
      <c r="K30" s="70">
        <f>SUM(K25:K29)</f>
        <v>1145.8966042327888</v>
      </c>
      <c r="L30" s="24"/>
      <c r="M30" s="48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124"/>
    </row>
    <row r="31" spans="2:27" x14ac:dyDescent="0.2">
      <c r="B31" s="52"/>
      <c r="C31" s="24"/>
      <c r="D31" s="24"/>
      <c r="E31" s="44" t="s">
        <v>33</v>
      </c>
      <c r="F31" s="45"/>
      <c r="G31" s="77"/>
      <c r="H31" s="78">
        <f>H30/G30-1</f>
        <v>0.63750000000000018</v>
      </c>
      <c r="I31" s="78">
        <f t="shared" ref="I31" si="1">I30/H30-1</f>
        <v>0.63750000000000018</v>
      </c>
      <c r="J31" s="78">
        <f t="shared" ref="J31" si="2">J30/I30-1</f>
        <v>0.63750000000000018</v>
      </c>
      <c r="K31" s="79">
        <f t="shared" ref="K31" si="3">K30/J30-1</f>
        <v>0.63749999999999996</v>
      </c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</row>
    <row r="32" spans="2:27" x14ac:dyDescent="0.2">
      <c r="B32" s="24"/>
      <c r="C32" s="24"/>
      <c r="D32" s="24"/>
      <c r="E32" s="44" t="s">
        <v>37</v>
      </c>
      <c r="F32" s="45"/>
      <c r="G32" s="77"/>
      <c r="H32" s="78">
        <f>H31-H13</f>
        <v>0.63750000000000018</v>
      </c>
      <c r="I32" s="78">
        <f>I31-I13</f>
        <v>0.63750000000000018</v>
      </c>
      <c r="J32" s="78">
        <f>J31-J13</f>
        <v>0.63750000000000018</v>
      </c>
      <c r="K32" s="79">
        <f>K31-K13</f>
        <v>0.63749999999999996</v>
      </c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</row>
    <row r="33" spans="2:26" x14ac:dyDescent="0.2">
      <c r="B33" s="52"/>
      <c r="C33" s="24"/>
      <c r="D33" s="24"/>
      <c r="E33" s="31"/>
      <c r="F33" s="36"/>
      <c r="G33" s="80"/>
      <c r="H33" s="43"/>
      <c r="I33" s="43"/>
      <c r="J33" s="43"/>
      <c r="K33" s="40"/>
      <c r="L33" s="81" t="s">
        <v>38</v>
      </c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</row>
    <row r="34" spans="2:26" x14ac:dyDescent="0.2">
      <c r="B34" s="24"/>
      <c r="C34" s="24"/>
      <c r="D34" s="24"/>
      <c r="E34" s="31" t="s">
        <v>15</v>
      </c>
      <c r="F34" s="36"/>
      <c r="G34" s="41">
        <f>G30/G18</f>
        <v>0.63750000000000018</v>
      </c>
      <c r="H34" s="41">
        <f>H30/H18</f>
        <v>0.63750000000000018</v>
      </c>
      <c r="I34" s="41">
        <f>I30/I18</f>
        <v>0.63750000000000018</v>
      </c>
      <c r="J34" s="41">
        <f>J30/J18</f>
        <v>0.63750000000000018</v>
      </c>
      <c r="K34" s="42">
        <f>K30/K18</f>
        <v>0.63750000000000007</v>
      </c>
      <c r="L34" s="82">
        <f>AVERAGE(G34:K34)</f>
        <v>0.63750000000000018</v>
      </c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</row>
    <row r="35" spans="2:26" x14ac:dyDescent="0.2">
      <c r="B35" s="52"/>
      <c r="C35" s="24"/>
      <c r="D35" s="24"/>
      <c r="E35" s="44" t="s">
        <v>16</v>
      </c>
      <c r="F35" s="36"/>
      <c r="G35" s="45"/>
      <c r="H35" s="83">
        <f>H34-G34</f>
        <v>0</v>
      </c>
      <c r="I35" s="83">
        <f>I34-H34</f>
        <v>0</v>
      </c>
      <c r="J35" s="83">
        <f>J34-I34</f>
        <v>0</v>
      </c>
      <c r="K35" s="84">
        <f>K34-J34</f>
        <v>0</v>
      </c>
      <c r="L35" s="82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</row>
    <row r="36" spans="2:26" x14ac:dyDescent="0.2">
      <c r="B36" s="24"/>
      <c r="C36" s="24"/>
      <c r="D36" s="24"/>
      <c r="E36" s="31" t="s">
        <v>31</v>
      </c>
      <c r="F36" s="36"/>
      <c r="G36" s="85">
        <f>G34/($C$23*(1-$C$17))</f>
        <v>1.0000000000000004</v>
      </c>
      <c r="H36" s="85">
        <f>H34/($C$23*(1-$C$17))</f>
        <v>1.0000000000000004</v>
      </c>
      <c r="I36" s="85">
        <f>I34/($C$23*(1-$C$17))</f>
        <v>1.0000000000000004</v>
      </c>
      <c r="J36" s="85">
        <f>J34/($C$23*(1-$C$17))</f>
        <v>1.0000000000000004</v>
      </c>
      <c r="K36" s="86">
        <f>K34/($C$23*(1-$C$17))</f>
        <v>1.0000000000000002</v>
      </c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</row>
    <row r="37" spans="2:26" x14ac:dyDescent="0.2">
      <c r="B37" s="52"/>
      <c r="C37" s="24"/>
      <c r="D37" s="24"/>
      <c r="E37" s="31" t="s">
        <v>22</v>
      </c>
      <c r="F37" s="37"/>
      <c r="G37" s="37">
        <f>G18*G36</f>
        <v>250.00000000000011</v>
      </c>
      <c r="H37" s="37">
        <f>H18*H36</f>
        <v>409.37500000000023</v>
      </c>
      <c r="I37" s="37">
        <f>I18*I36</f>
        <v>670.35156250000057</v>
      </c>
      <c r="J37" s="37">
        <f>J18*J36</f>
        <v>1097.7006835937509</v>
      </c>
      <c r="K37" s="35">
        <f>K18*K36</f>
        <v>1797.4848693847671</v>
      </c>
      <c r="L37" s="87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</row>
    <row r="38" spans="2:26" x14ac:dyDescent="0.2">
      <c r="B38" s="24"/>
      <c r="C38" s="24"/>
      <c r="D38" s="24"/>
      <c r="E38" s="31" t="s">
        <v>23</v>
      </c>
      <c r="F38" s="88"/>
      <c r="G38" s="88">
        <f>G37/$C$20</f>
        <v>2.5000000000000013</v>
      </c>
      <c r="H38" s="88">
        <f>H37/($C$20-H40)</f>
        <v>4.0937500000000027</v>
      </c>
      <c r="I38" s="88">
        <f>I37/($C$20-I40-H40)</f>
        <v>6.7035156250000059</v>
      </c>
      <c r="J38" s="88">
        <f>J37/($C$20-J40-I40-H40)</f>
        <v>10.977006835937509</v>
      </c>
      <c r="K38" s="89">
        <f>K37/($C$20-K40-J40-I40-H40)</f>
        <v>17.974848693847672</v>
      </c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</row>
    <row r="39" spans="2:26" x14ac:dyDescent="0.2">
      <c r="B39" s="24"/>
      <c r="C39" s="24"/>
      <c r="D39" s="24"/>
      <c r="E39" s="31"/>
      <c r="F39" s="88"/>
      <c r="G39" s="37"/>
      <c r="H39" s="37"/>
      <c r="I39" s="37"/>
      <c r="J39" s="37"/>
      <c r="K39" s="35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</row>
    <row r="40" spans="2:26" x14ac:dyDescent="0.2">
      <c r="B40" s="52"/>
      <c r="C40" s="24"/>
      <c r="D40" s="24"/>
      <c r="E40" s="31" t="s">
        <v>25</v>
      </c>
      <c r="F40" s="37"/>
      <c r="G40" s="80"/>
      <c r="H40" s="90">
        <f>-G22/G38</f>
        <v>0</v>
      </c>
      <c r="I40" s="90">
        <f>-H22/H38</f>
        <v>0</v>
      </c>
      <c r="J40" s="90">
        <f>-I22/I38</f>
        <v>0</v>
      </c>
      <c r="K40" s="91">
        <f>-J22/J38</f>
        <v>0</v>
      </c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</row>
    <row r="41" spans="2:26" x14ac:dyDescent="0.2">
      <c r="B41" s="92"/>
      <c r="C41" s="24"/>
      <c r="D41" s="24"/>
      <c r="E41" s="31" t="s">
        <v>26</v>
      </c>
      <c r="F41" s="37"/>
      <c r="G41" s="93">
        <f>G30/C20</f>
        <v>1.5937500000000007</v>
      </c>
      <c r="H41" s="90">
        <f>H30/($C$20-H40)</f>
        <v>2.609765625000001</v>
      </c>
      <c r="I41" s="90">
        <f>I30/($C$20-H40-I40)</f>
        <v>4.2734912109375021</v>
      </c>
      <c r="J41" s="90">
        <f>J30/($C$20-H40-I40-J40)</f>
        <v>6.9978418579101609</v>
      </c>
      <c r="K41" s="91">
        <f>K30/($C$20-H40-I40-J40-K40)</f>
        <v>11.458966042327889</v>
      </c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</row>
    <row r="42" spans="2:26" x14ac:dyDescent="0.2">
      <c r="B42" s="24"/>
      <c r="C42" s="24"/>
      <c r="D42" s="24"/>
      <c r="E42" s="94" t="s">
        <v>24</v>
      </c>
      <c r="F42" s="95"/>
      <c r="G42" s="96"/>
      <c r="H42" s="97">
        <f>H41/G41-1</f>
        <v>0.63749999999999996</v>
      </c>
      <c r="I42" s="97">
        <f>I41/H41-1</f>
        <v>0.63750000000000018</v>
      </c>
      <c r="J42" s="97">
        <f t="shared" ref="J42" si="4">J41/I41-1</f>
        <v>0.6375000000000004</v>
      </c>
      <c r="K42" s="98">
        <f t="shared" ref="K42" si="5">K41/J41-1</f>
        <v>0.63750000000000018</v>
      </c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</row>
    <row r="43" spans="2:26" x14ac:dyDescent="0.2">
      <c r="B43" s="92"/>
      <c r="C43" s="24"/>
      <c r="D43" s="24"/>
      <c r="E43" s="24"/>
      <c r="F43" s="38"/>
      <c r="G43" s="99"/>
      <c r="H43" s="100"/>
      <c r="I43" s="100"/>
      <c r="J43" s="100"/>
      <c r="K43" s="100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</row>
    <row r="44" spans="2:26" x14ac:dyDescent="0.2">
      <c r="B44" s="24"/>
      <c r="C44" s="24"/>
      <c r="D44" s="24"/>
      <c r="E44" s="24"/>
      <c r="F44" s="38"/>
      <c r="G44" s="99"/>
      <c r="H44" s="101"/>
      <c r="I44" s="101"/>
      <c r="J44" s="101"/>
      <c r="K44" s="101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</row>
    <row r="45" spans="2:26" x14ac:dyDescent="0.2">
      <c r="B45" s="24"/>
      <c r="C45" s="24"/>
      <c r="D45" s="24"/>
      <c r="E45" s="24"/>
      <c r="F45" s="38"/>
      <c r="G45" s="99"/>
      <c r="H45" s="99"/>
      <c r="I45" s="99"/>
      <c r="J45" s="99"/>
      <c r="K45" s="99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</row>
    <row r="46" spans="2:26" ht="20" x14ac:dyDescent="0.2">
      <c r="B46" s="24"/>
      <c r="C46" s="24"/>
      <c r="D46" s="24"/>
      <c r="E46" s="143" t="str">
        <f>"IRR For A Five-Year Company Model With A "&amp;TEXT(C21,"0.0%")&amp; " Dividend Payout"</f>
        <v>IRR For A Five-Year Company Model With A 0.0% Dividend Payout</v>
      </c>
      <c r="F46" s="143"/>
      <c r="G46" s="143"/>
      <c r="H46" s="143"/>
      <c r="I46" s="143"/>
      <c r="J46" s="143"/>
      <c r="K46" s="143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</row>
    <row r="47" spans="2:26" x14ac:dyDescent="0.2"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</row>
    <row r="48" spans="2:26" x14ac:dyDescent="0.2">
      <c r="B48" s="24"/>
      <c r="C48" s="24"/>
      <c r="D48" s="24"/>
      <c r="E48" s="24"/>
      <c r="F48" s="144" t="s">
        <v>21</v>
      </c>
      <c r="G48" s="144"/>
      <c r="H48" s="144"/>
      <c r="I48" s="144"/>
      <c r="J48" s="144"/>
      <c r="K48" s="144"/>
      <c r="L48" s="24"/>
      <c r="M48" s="100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</row>
    <row r="49" spans="2:26" x14ac:dyDescent="0.2">
      <c r="B49" s="103"/>
      <c r="C49" s="103"/>
      <c r="D49" s="24"/>
      <c r="E49" s="24"/>
      <c r="F49" s="32">
        <v>0</v>
      </c>
      <c r="G49" s="32">
        <v>1</v>
      </c>
      <c r="H49" s="32">
        <v>2</v>
      </c>
      <c r="I49" s="32">
        <v>3</v>
      </c>
      <c r="J49" s="32">
        <v>4</v>
      </c>
      <c r="K49" s="32">
        <v>5</v>
      </c>
      <c r="L49" s="24"/>
      <c r="M49" s="24" t="s">
        <v>47</v>
      </c>
      <c r="N49" s="24"/>
      <c r="O49" s="102"/>
      <c r="P49" s="102"/>
      <c r="Q49" s="102"/>
      <c r="R49" s="102"/>
      <c r="S49" s="24"/>
      <c r="T49" s="24"/>
      <c r="U49" s="24"/>
      <c r="V49" s="24"/>
      <c r="W49" s="24"/>
      <c r="X49" s="24"/>
      <c r="Y49" s="24"/>
      <c r="Z49" s="24"/>
    </row>
    <row r="50" spans="2:26" x14ac:dyDescent="0.2">
      <c r="B50" s="52"/>
      <c r="C50" s="52"/>
      <c r="D50" s="24"/>
      <c r="E50" s="24" t="s">
        <v>18</v>
      </c>
      <c r="F50" s="101">
        <f>-G18</f>
        <v>-250</v>
      </c>
      <c r="G50" s="101"/>
      <c r="H50" s="101"/>
      <c r="I50" s="101"/>
      <c r="J50" s="101"/>
      <c r="K50" s="101"/>
      <c r="L50" s="24"/>
      <c r="M50" s="104" t="s">
        <v>43</v>
      </c>
      <c r="N50" s="105">
        <f>K30/(C23*(1-C17))+K30+K21</f>
        <v>2943.3814736175555</v>
      </c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</row>
    <row r="51" spans="2:26" x14ac:dyDescent="0.2">
      <c r="B51" s="52"/>
      <c r="C51" s="52"/>
      <c r="D51" s="24"/>
      <c r="E51" s="24" t="s">
        <v>19</v>
      </c>
      <c r="F51" s="101"/>
      <c r="G51" s="101">
        <f>-G21</f>
        <v>0</v>
      </c>
      <c r="H51" s="101">
        <f>-H21</f>
        <v>0</v>
      </c>
      <c r="I51" s="101">
        <f>-I21</f>
        <v>0</v>
      </c>
      <c r="J51" s="101">
        <f>-J21</f>
        <v>0</v>
      </c>
      <c r="K51" s="101">
        <f>-K21</f>
        <v>0</v>
      </c>
      <c r="L51" s="24"/>
      <c r="M51" s="106" t="s">
        <v>52</v>
      </c>
      <c r="N51" s="35">
        <f>G18+SUM(G30:K30)+SUM(G21:K21)</f>
        <v>2943.3814736175555</v>
      </c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</row>
    <row r="52" spans="2:26" x14ac:dyDescent="0.2">
      <c r="B52" s="52"/>
      <c r="C52" s="52"/>
      <c r="D52" s="24"/>
      <c r="E52" s="24" t="s">
        <v>48</v>
      </c>
      <c r="F52" s="24"/>
      <c r="G52" s="99">
        <f>-G22</f>
        <v>0</v>
      </c>
      <c r="H52" s="99">
        <f t="shared" ref="H52:K52" si="6">-H22</f>
        <v>0</v>
      </c>
      <c r="I52" s="99">
        <f t="shared" si="6"/>
        <v>0</v>
      </c>
      <c r="J52" s="99">
        <f t="shared" si="6"/>
        <v>0</v>
      </c>
      <c r="K52" s="99">
        <f t="shared" si="6"/>
        <v>0</v>
      </c>
      <c r="L52" s="24"/>
      <c r="M52" s="31" t="s">
        <v>53</v>
      </c>
      <c r="N52" s="35">
        <f>N50-N51</f>
        <v>0</v>
      </c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</row>
    <row r="53" spans="2:26" x14ac:dyDescent="0.2">
      <c r="B53" s="144"/>
      <c r="C53" s="144"/>
      <c r="D53" s="144"/>
      <c r="E53" s="24" t="s">
        <v>36</v>
      </c>
      <c r="F53" s="75"/>
      <c r="G53" s="75"/>
      <c r="H53" s="75"/>
      <c r="I53" s="75"/>
      <c r="J53" s="75"/>
      <c r="K53" s="75">
        <f>((K30/(C23*(1-C17))+K30+K21)-(K30/(C23*(1-C17))+K30+K21-(G18+SUM(G30:K30)+SUM(G21:K21)))*C17)</f>
        <v>2943.3814736175555</v>
      </c>
      <c r="L53" s="38"/>
      <c r="M53" s="31" t="str">
        <f>"Tax @"&amp;TEXT(C17,"0.0%")</f>
        <v>Tax @25.0%</v>
      </c>
      <c r="N53" s="35">
        <f>(N50-N51)*C17</f>
        <v>0</v>
      </c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</row>
    <row r="54" spans="2:26" x14ac:dyDescent="0.2">
      <c r="B54" s="24"/>
      <c r="C54" s="24"/>
      <c r="D54" s="24"/>
      <c r="E54" s="24" t="s">
        <v>20</v>
      </c>
      <c r="F54" s="38">
        <f t="shared" ref="F54:J54" si="7">SUM(F50:F53)</f>
        <v>-250</v>
      </c>
      <c r="G54" s="38">
        <f t="shared" si="7"/>
        <v>0</v>
      </c>
      <c r="H54" s="38">
        <f t="shared" si="7"/>
        <v>0</v>
      </c>
      <c r="I54" s="38">
        <f t="shared" si="7"/>
        <v>0</v>
      </c>
      <c r="J54" s="38">
        <f t="shared" si="7"/>
        <v>0</v>
      </c>
      <c r="K54" s="118">
        <f>SUM(K50:K53)</f>
        <v>2943.3814736175555</v>
      </c>
      <c r="L54" s="119"/>
      <c r="M54" s="120" t="s">
        <v>44</v>
      </c>
      <c r="N54" s="121">
        <f>N50-N53</f>
        <v>2943.3814736175555</v>
      </c>
      <c r="O54" s="38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</row>
    <row r="55" spans="2:26" x14ac:dyDescent="0.2">
      <c r="B55" s="107"/>
      <c r="C55" s="39"/>
      <c r="D55" s="24"/>
      <c r="E55" s="24"/>
      <c r="F55" s="24"/>
      <c r="G55" s="87"/>
      <c r="H55" s="24"/>
      <c r="I55" s="24"/>
      <c r="J55" s="24"/>
      <c r="K55" s="24"/>
      <c r="L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</row>
    <row r="56" spans="2:26" x14ac:dyDescent="0.2">
      <c r="B56" s="52"/>
      <c r="C56" s="52"/>
      <c r="D56" s="24"/>
      <c r="E56" s="108" t="s">
        <v>40</v>
      </c>
      <c r="F56" s="109">
        <f>MIRR(F54:K54,0.1,0.1)</f>
        <v>0.63750000000000018</v>
      </c>
      <c r="G56" s="24"/>
      <c r="H56" s="146" t="s">
        <v>39</v>
      </c>
      <c r="I56" s="146"/>
      <c r="J56" s="146"/>
      <c r="K56" s="110">
        <f>L34/F56</f>
        <v>1</v>
      </c>
      <c r="L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</row>
    <row r="57" spans="2:26" x14ac:dyDescent="0.2">
      <c r="B57" s="24"/>
      <c r="C57" s="24"/>
      <c r="D57" s="24"/>
      <c r="E57" s="108" t="s">
        <v>69</v>
      </c>
      <c r="F57" s="109">
        <f>IRR(F54:K54,0.1)</f>
        <v>0.63749999999907381</v>
      </c>
      <c r="G57" s="24"/>
      <c r="H57" s="146" t="s">
        <v>39</v>
      </c>
      <c r="I57" s="146"/>
      <c r="J57" s="146"/>
      <c r="K57" s="110">
        <f>L34/F57</f>
        <v>1.0000000000014531</v>
      </c>
      <c r="L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</row>
    <row r="58" spans="2:26" x14ac:dyDescent="0.2">
      <c r="B58" s="24"/>
      <c r="C58" s="24"/>
      <c r="D58" s="24"/>
      <c r="E58" s="24"/>
      <c r="F58" s="82"/>
      <c r="G58" s="24"/>
      <c r="H58" s="24"/>
      <c r="I58" s="24"/>
      <c r="J58" s="24"/>
      <c r="K58" s="24"/>
      <c r="L58" s="24"/>
      <c r="O58" s="38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</row>
    <row r="59" spans="2:26" ht="20" x14ac:dyDescent="0.2">
      <c r="B59" s="52"/>
      <c r="C59" s="24"/>
      <c r="D59" s="24"/>
      <c r="E59" s="143" t="str">
        <f>"Five-Year Company Model With A "&amp;TEXT(C21,"0.0%")&amp; " Dividend Payout"</f>
        <v>Five-Year Company Model With A 0.0% Dividend Payout</v>
      </c>
      <c r="F59" s="143"/>
      <c r="G59" s="143"/>
      <c r="H59" s="143"/>
      <c r="I59" s="143"/>
      <c r="J59" s="143"/>
      <c r="K59" s="143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</row>
    <row r="60" spans="2:26" x14ac:dyDescent="0.2"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</row>
    <row r="61" spans="2:26" x14ac:dyDescent="0.2">
      <c r="B61" s="24"/>
      <c r="C61" s="24"/>
      <c r="D61" s="24"/>
      <c r="E61" s="111" t="s">
        <v>34</v>
      </c>
      <c r="F61" s="24"/>
      <c r="G61" s="32" t="str">
        <f>G9</f>
        <v>Year 1</v>
      </c>
      <c r="H61" s="32" t="str">
        <f>H9</f>
        <v>Year 2</v>
      </c>
      <c r="I61" s="32" t="str">
        <f>I9</f>
        <v>Year 3</v>
      </c>
      <c r="J61" s="32" t="str">
        <f>J9</f>
        <v>Year 4</v>
      </c>
      <c r="K61" s="32" t="str">
        <f>K9</f>
        <v>Year 5</v>
      </c>
      <c r="L61" s="24"/>
      <c r="M61" s="24"/>
      <c r="N61" s="24"/>
      <c r="O61" s="38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</row>
    <row r="62" spans="2:26" x14ac:dyDescent="0.2">
      <c r="B62" s="24"/>
      <c r="C62" s="24"/>
      <c r="D62" s="24"/>
      <c r="E62" s="24" t="str">
        <f>E18</f>
        <v>Beginning Equity at Cost</v>
      </c>
      <c r="F62" s="38"/>
      <c r="G62" s="38">
        <f>G18</f>
        <v>250</v>
      </c>
      <c r="H62" s="38">
        <f>H18</f>
        <v>409.37500000000006</v>
      </c>
      <c r="I62" s="38">
        <f>I18</f>
        <v>670.35156250000023</v>
      </c>
      <c r="J62" s="38">
        <f>J18</f>
        <v>1097.7006835937505</v>
      </c>
      <c r="K62" s="38">
        <f>K18</f>
        <v>1797.4848693847666</v>
      </c>
      <c r="L62" s="24"/>
      <c r="M62" s="24"/>
      <c r="N62" s="24"/>
      <c r="O62" s="38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</row>
    <row r="63" spans="2:26" x14ac:dyDescent="0.2">
      <c r="B63" s="24"/>
      <c r="C63" s="24"/>
      <c r="D63" s="24"/>
      <c r="E63" s="24" t="s">
        <v>35</v>
      </c>
      <c r="F63" s="24"/>
      <c r="G63" s="38">
        <f>H62</f>
        <v>409.37500000000006</v>
      </c>
      <c r="H63" s="38">
        <f>I62</f>
        <v>670.35156250000023</v>
      </c>
      <c r="I63" s="38">
        <f>J62</f>
        <v>1097.7006835937505</v>
      </c>
      <c r="J63" s="38">
        <f>K62</f>
        <v>1797.4848693847666</v>
      </c>
      <c r="K63" s="38">
        <f>K62+K65</f>
        <v>2943.3814736175555</v>
      </c>
      <c r="L63" s="24"/>
      <c r="M63" s="24"/>
      <c r="N63" s="24"/>
      <c r="O63" s="38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</row>
    <row r="64" spans="2:26" x14ac:dyDescent="0.2">
      <c r="B64" s="24"/>
      <c r="C64" s="24"/>
      <c r="D64" s="24"/>
      <c r="E64" s="24"/>
      <c r="F64" s="24"/>
      <c r="G64" s="38"/>
      <c r="H64" s="38"/>
      <c r="I64" s="38"/>
      <c r="J64" s="38"/>
      <c r="K64" s="38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</row>
    <row r="65" spans="2:26" x14ac:dyDescent="0.2">
      <c r="B65" s="24"/>
      <c r="C65" s="24"/>
      <c r="D65" s="24"/>
      <c r="E65" s="24" t="str">
        <f>E23</f>
        <v>Current Reinvested After-Tax Cash Flows</v>
      </c>
      <c r="F65" s="24"/>
      <c r="G65" s="38">
        <f>G23</f>
        <v>159.37500000000006</v>
      </c>
      <c r="H65" s="38">
        <f t="shared" ref="H65:K65" si="8">H23</f>
        <v>260.97656250000011</v>
      </c>
      <c r="I65" s="38">
        <f t="shared" si="8"/>
        <v>427.34912109375023</v>
      </c>
      <c r="J65" s="38">
        <f t="shared" si="8"/>
        <v>699.78418579101606</v>
      </c>
      <c r="K65" s="38">
        <f t="shared" si="8"/>
        <v>1145.8966042327888</v>
      </c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</row>
    <row r="66" spans="2:26" x14ac:dyDescent="0.2">
      <c r="B66" s="24"/>
      <c r="C66" s="24"/>
      <c r="D66" s="24"/>
      <c r="E66" s="112" t="str">
        <f>E31</f>
        <v xml:space="preserve">   Growth Rate</v>
      </c>
      <c r="F66" s="112"/>
      <c r="G66" s="112"/>
      <c r="H66" s="113">
        <f t="shared" ref="H66:K66" si="9">H31</f>
        <v>0.63750000000000018</v>
      </c>
      <c r="I66" s="113">
        <f t="shared" si="9"/>
        <v>0.63750000000000018</v>
      </c>
      <c r="J66" s="113">
        <f t="shared" si="9"/>
        <v>0.63750000000000018</v>
      </c>
      <c r="K66" s="113">
        <f t="shared" si="9"/>
        <v>0.63749999999999996</v>
      </c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</row>
    <row r="67" spans="2:26" x14ac:dyDescent="0.2">
      <c r="B67" s="24"/>
      <c r="C67" s="24"/>
      <c r="D67" s="24"/>
      <c r="E67" s="24" t="s">
        <v>30</v>
      </c>
      <c r="F67" s="24"/>
      <c r="G67" s="82">
        <f>G34</f>
        <v>0.63750000000000018</v>
      </c>
      <c r="H67" s="82">
        <f t="shared" ref="H67:K67" si="10">H34</f>
        <v>0.63750000000000018</v>
      </c>
      <c r="I67" s="82">
        <f t="shared" si="10"/>
        <v>0.63750000000000018</v>
      </c>
      <c r="J67" s="82">
        <f t="shared" si="10"/>
        <v>0.63750000000000018</v>
      </c>
      <c r="K67" s="82">
        <f t="shared" si="10"/>
        <v>0.63750000000000007</v>
      </c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</row>
    <row r="68" spans="2:26" x14ac:dyDescent="0.2"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</row>
    <row r="69" spans="2:26" x14ac:dyDescent="0.2">
      <c r="B69" s="24"/>
      <c r="C69" s="24"/>
      <c r="D69" s="24"/>
      <c r="E69" s="24" t="str">
        <f>E36</f>
        <v>Equity Valuation Multiple</v>
      </c>
      <c r="F69" s="24"/>
      <c r="G69" s="114">
        <f>G36</f>
        <v>1.0000000000000004</v>
      </c>
      <c r="H69" s="114">
        <f t="shared" ref="H69:K69" si="11">H36</f>
        <v>1.0000000000000004</v>
      </c>
      <c r="I69" s="114">
        <f t="shared" si="11"/>
        <v>1.0000000000000004</v>
      </c>
      <c r="J69" s="114">
        <f t="shared" si="11"/>
        <v>1.0000000000000004</v>
      </c>
      <c r="K69" s="114">
        <f t="shared" si="11"/>
        <v>1.0000000000000002</v>
      </c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</row>
    <row r="70" spans="2:26" x14ac:dyDescent="0.2"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</row>
    <row r="71" spans="2:26" x14ac:dyDescent="0.2">
      <c r="B71" s="24"/>
      <c r="C71" s="24"/>
      <c r="D71" s="24"/>
      <c r="E71" s="115" t="str">
        <f>E37</f>
        <v>Total Equity Valuation</v>
      </c>
      <c r="F71" s="115"/>
      <c r="G71" s="116">
        <f>G37</f>
        <v>250.00000000000011</v>
      </c>
      <c r="H71" s="116">
        <f t="shared" ref="H71:K71" si="12">H37</f>
        <v>409.37500000000023</v>
      </c>
      <c r="I71" s="116">
        <f t="shared" si="12"/>
        <v>670.35156250000057</v>
      </c>
      <c r="J71" s="116">
        <f t="shared" si="12"/>
        <v>1097.7006835937509</v>
      </c>
      <c r="K71" s="116">
        <f t="shared" si="12"/>
        <v>1797.4848693847671</v>
      </c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</row>
    <row r="72" spans="2:26" x14ac:dyDescent="0.2"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</row>
    <row r="73" spans="2:26" x14ac:dyDescent="0.2"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</row>
    <row r="74" spans="2:26" x14ac:dyDescent="0.2"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</row>
    <row r="75" spans="2:26" x14ac:dyDescent="0.2"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</row>
    <row r="76" spans="2:26" x14ac:dyDescent="0.2"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</row>
    <row r="77" spans="2:26" x14ac:dyDescent="0.2"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</row>
    <row r="78" spans="2:26" x14ac:dyDescent="0.2"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</row>
    <row r="79" spans="2:26" x14ac:dyDescent="0.2"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</row>
    <row r="80" spans="2:26" x14ac:dyDescent="0.2"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</row>
    <row r="81" spans="2:26" x14ac:dyDescent="0.2"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</row>
    <row r="82" spans="2:26" x14ac:dyDescent="0.2"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</row>
    <row r="83" spans="2:26" x14ac:dyDescent="0.2"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</row>
    <row r="84" spans="2:26" x14ac:dyDescent="0.2"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</row>
    <row r="85" spans="2:26" x14ac:dyDescent="0.2"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</row>
    <row r="86" spans="2:26" x14ac:dyDescent="0.2"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</row>
    <row r="87" spans="2:26" x14ac:dyDescent="0.2"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</row>
    <row r="88" spans="2:26" x14ac:dyDescent="0.2"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</row>
    <row r="89" spans="2:26" x14ac:dyDescent="0.2"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</row>
    <row r="90" spans="2:26" x14ac:dyDescent="0.2"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</row>
    <row r="91" spans="2:26" x14ac:dyDescent="0.2"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</row>
    <row r="92" spans="2:26" x14ac:dyDescent="0.2">
      <c r="M92" s="24"/>
      <c r="N92" s="24"/>
      <c r="O92" s="24"/>
      <c r="P92" s="38"/>
      <c r="Q92" s="38"/>
      <c r="R92" s="38"/>
      <c r="S92" s="38"/>
      <c r="T92" s="38"/>
      <c r="U92" s="38"/>
      <c r="V92" s="24"/>
      <c r="W92" s="24"/>
      <c r="X92" s="24"/>
      <c r="Y92" s="24"/>
      <c r="Z92" s="24"/>
    </row>
    <row r="93" spans="2:26" x14ac:dyDescent="0.2">
      <c r="P93" s="8"/>
      <c r="Q93" s="8"/>
      <c r="R93" s="8"/>
      <c r="S93" s="8"/>
      <c r="T93" s="8"/>
      <c r="U93" s="8"/>
    </row>
    <row r="94" spans="2:26" x14ac:dyDescent="0.2">
      <c r="P94" s="13"/>
      <c r="Q94" s="20"/>
      <c r="R94" s="20"/>
      <c r="S94" s="20"/>
      <c r="T94" s="20"/>
      <c r="U94" s="20"/>
    </row>
    <row r="95" spans="2:26" x14ac:dyDescent="0.2">
      <c r="Q95" s="8"/>
      <c r="R95" s="8"/>
      <c r="S95" s="8"/>
      <c r="T95" s="8"/>
      <c r="U95" s="8"/>
    </row>
    <row r="110" spans="17:21" x14ac:dyDescent="0.2">
      <c r="Q110" s="3"/>
      <c r="R110" s="1"/>
      <c r="S110" s="1"/>
      <c r="T110" s="1"/>
      <c r="U110" s="1"/>
    </row>
    <row r="111" spans="17:21" x14ac:dyDescent="0.2">
      <c r="Q111" s="1"/>
      <c r="R111" s="1"/>
      <c r="S111" s="1"/>
      <c r="T111" s="1"/>
      <c r="U111" s="1"/>
    </row>
    <row r="112" spans="17:21" x14ac:dyDescent="0.2">
      <c r="Q112" s="18"/>
      <c r="R112" s="18"/>
      <c r="S112" s="18"/>
      <c r="T112" s="18"/>
      <c r="U112" s="18"/>
    </row>
    <row r="113" spans="15:21" x14ac:dyDescent="0.2">
      <c r="P113" s="8"/>
      <c r="Q113" s="8"/>
      <c r="R113" s="8"/>
      <c r="S113" s="8"/>
      <c r="T113" s="8"/>
      <c r="U113" s="19"/>
    </row>
    <row r="114" spans="15:21" x14ac:dyDescent="0.2">
      <c r="P114" s="10"/>
      <c r="Q114" s="10"/>
      <c r="R114" s="10"/>
      <c r="S114" s="10"/>
      <c r="T114" s="10"/>
      <c r="U114" s="10"/>
    </row>
    <row r="115" spans="15:21" x14ac:dyDescent="0.2">
      <c r="P115" s="10"/>
      <c r="Q115" s="10"/>
      <c r="R115" s="10"/>
      <c r="S115" s="10"/>
      <c r="T115" s="10"/>
      <c r="U115" s="10"/>
    </row>
    <row r="116" spans="15:21" x14ac:dyDescent="0.2">
      <c r="P116" s="8"/>
      <c r="Q116" s="3"/>
      <c r="R116" s="4"/>
      <c r="S116" s="4"/>
      <c r="T116" s="4"/>
      <c r="U116" s="4"/>
    </row>
    <row r="117" spans="15:21" x14ac:dyDescent="0.2">
      <c r="P117" s="8"/>
      <c r="Q117" s="15"/>
      <c r="R117" s="4"/>
      <c r="S117" s="4"/>
      <c r="T117" s="4"/>
      <c r="U117" s="4"/>
    </row>
    <row r="118" spans="15:21" x14ac:dyDescent="0.2">
      <c r="O118" s="5"/>
      <c r="P118" s="5"/>
      <c r="Q118" s="11"/>
      <c r="R118" s="12"/>
      <c r="S118" s="12"/>
      <c r="T118" s="12"/>
      <c r="U118" s="12"/>
    </row>
    <row r="119" spans="15:21" x14ac:dyDescent="0.2">
      <c r="P119" s="8"/>
      <c r="Q119" s="3"/>
      <c r="R119" s="14"/>
      <c r="S119" s="14"/>
      <c r="T119" s="14"/>
      <c r="U119" s="14"/>
    </row>
    <row r="120" spans="15:21" x14ac:dyDescent="0.2">
      <c r="P120" s="8"/>
      <c r="Q120" s="3"/>
      <c r="R120" s="14"/>
      <c r="S120" s="14"/>
      <c r="T120" s="14"/>
      <c r="U120" s="14"/>
    </row>
    <row r="121" spans="15:21" x14ac:dyDescent="0.2">
      <c r="P121" s="8"/>
      <c r="Q121" s="3"/>
      <c r="R121" s="3"/>
      <c r="S121" s="3"/>
      <c r="T121" s="3"/>
      <c r="U121" s="3"/>
    </row>
    <row r="123" spans="15:21" x14ac:dyDescent="0.2">
      <c r="P123" s="142"/>
      <c r="Q123" s="142"/>
      <c r="R123" s="142"/>
      <c r="S123" s="142"/>
      <c r="T123" s="142"/>
      <c r="U123" s="142"/>
    </row>
    <row r="124" spans="15:21" x14ac:dyDescent="0.2">
      <c r="P124" s="7"/>
      <c r="Q124" s="7"/>
      <c r="R124" s="7"/>
      <c r="S124" s="7"/>
      <c r="T124" s="7"/>
      <c r="U124" s="7"/>
    </row>
    <row r="125" spans="15:21" x14ac:dyDescent="0.2">
      <c r="P125" s="2"/>
      <c r="Q125" s="2"/>
      <c r="R125" s="2"/>
      <c r="S125" s="2"/>
      <c r="T125" s="2"/>
      <c r="U125" s="2"/>
    </row>
    <row r="126" spans="15:21" x14ac:dyDescent="0.2">
      <c r="P126" s="2"/>
      <c r="Q126" s="2"/>
      <c r="R126" s="2"/>
      <c r="S126" s="2"/>
      <c r="T126" s="2"/>
      <c r="U126" s="2"/>
    </row>
    <row r="127" spans="15:21" x14ac:dyDescent="0.2">
      <c r="P127" s="6"/>
      <c r="Q127" s="6"/>
      <c r="R127" s="6"/>
      <c r="S127" s="6"/>
      <c r="T127" s="6"/>
      <c r="U127" s="6"/>
    </row>
    <row r="128" spans="15:21" x14ac:dyDescent="0.2">
      <c r="P128" s="8"/>
      <c r="Q128" s="8"/>
      <c r="R128" s="8"/>
      <c r="S128" s="8"/>
      <c r="T128" s="8"/>
      <c r="U128" s="9"/>
    </row>
    <row r="130" spans="15:16" x14ac:dyDescent="0.2">
      <c r="O130" s="16"/>
      <c r="P130" s="17"/>
    </row>
  </sheetData>
  <mergeCells count="16">
    <mergeCell ref="V13:Z13"/>
    <mergeCell ref="N11:Z11"/>
    <mergeCell ref="R23:V23"/>
    <mergeCell ref="Q21:V21"/>
    <mergeCell ref="B53:D53"/>
    <mergeCell ref="B2:F2"/>
    <mergeCell ref="B3:F3"/>
    <mergeCell ref="B4:F4"/>
    <mergeCell ref="B5:F5"/>
    <mergeCell ref="P123:U123"/>
    <mergeCell ref="E59:K59"/>
    <mergeCell ref="F48:K48"/>
    <mergeCell ref="O13:S13"/>
    <mergeCell ref="E46:K46"/>
    <mergeCell ref="H56:J56"/>
    <mergeCell ref="H57:J5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Five Year Model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Volk</dc:creator>
  <cp:lastModifiedBy>Microsoft Office User</cp:lastModifiedBy>
  <dcterms:created xsi:type="dcterms:W3CDTF">2021-08-24T18:30:19Z</dcterms:created>
  <dcterms:modified xsi:type="dcterms:W3CDTF">2022-05-10T18:50:07Z</dcterms:modified>
</cp:coreProperties>
</file>